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F:\Work\Documents\BNCWebsite\Downloads\"/>
    </mc:Choice>
  </mc:AlternateContent>
  <bookViews>
    <workbookView xWindow="0" yWindow="0" windowWidth="19200" windowHeight="6810" tabRatio="242"/>
  </bookViews>
  <sheets>
    <sheet name="Tables" sheetId="11" r:id="rId1"/>
    <sheet name="Results" sheetId="9" r:id="rId2"/>
    <sheet name="Sheet1" sheetId="12" r:id="rId3"/>
  </sheets>
  <calcPr calcId="171027"/>
</workbook>
</file>

<file path=xl/calcChain.xml><?xml version="1.0" encoding="utf-8"?>
<calcChain xmlns="http://schemas.openxmlformats.org/spreadsheetml/2006/main">
  <c r="K15" i="11" l="1"/>
  <c r="J15" i="11"/>
  <c r="H15" i="11"/>
  <c r="G15" i="11"/>
  <c r="I15" i="11" s="1"/>
  <c r="F15" i="11"/>
  <c r="E15" i="11"/>
  <c r="D15" i="11"/>
  <c r="C15" i="11"/>
  <c r="B15" i="11"/>
  <c r="K12" i="11"/>
  <c r="H12" i="11"/>
  <c r="G12" i="11"/>
  <c r="I12" i="11" s="1"/>
  <c r="F12" i="11"/>
  <c r="E12" i="11"/>
  <c r="D12" i="11"/>
  <c r="C12" i="11"/>
  <c r="B12" i="11"/>
  <c r="K13" i="11"/>
  <c r="H13" i="11"/>
  <c r="G13" i="11"/>
  <c r="I13" i="11" s="1"/>
  <c r="F13" i="11"/>
  <c r="E13" i="11"/>
  <c r="D13" i="11"/>
  <c r="C13" i="11"/>
  <c r="B13" i="11"/>
  <c r="K7" i="11"/>
  <c r="H7" i="11"/>
  <c r="G7" i="11"/>
  <c r="I7" i="11" s="1"/>
  <c r="F7" i="11"/>
  <c r="E7" i="11"/>
  <c r="D7" i="11"/>
  <c r="C7" i="11"/>
  <c r="B7" i="11"/>
  <c r="K8" i="11"/>
  <c r="H8" i="11"/>
  <c r="G8" i="11"/>
  <c r="I8" i="11" s="1"/>
  <c r="F8" i="11"/>
  <c r="E8" i="11"/>
  <c r="D8" i="11"/>
  <c r="C8" i="11"/>
  <c r="B8" i="11"/>
  <c r="K14" i="11"/>
  <c r="H14" i="11"/>
  <c r="G14" i="11"/>
  <c r="I14" i="11" s="1"/>
  <c r="F14" i="11"/>
  <c r="E14" i="11"/>
  <c r="D14" i="11"/>
  <c r="C14" i="11"/>
  <c r="B14" i="11"/>
  <c r="K10" i="11"/>
  <c r="H10" i="11"/>
  <c r="G10" i="11"/>
  <c r="I10" i="11" s="1"/>
  <c r="F10" i="11"/>
  <c r="E10" i="11"/>
  <c r="D10" i="11"/>
  <c r="C10" i="11"/>
  <c r="B10" i="11"/>
  <c r="K16" i="11"/>
  <c r="J16" i="11"/>
  <c r="H16" i="11"/>
  <c r="G16" i="11"/>
  <c r="F16" i="11"/>
  <c r="E16" i="11"/>
  <c r="D16" i="11"/>
  <c r="C16" i="11"/>
  <c r="B16" i="11"/>
  <c r="K11" i="11"/>
  <c r="H11" i="11"/>
  <c r="G11" i="11"/>
  <c r="F11" i="11"/>
  <c r="E11" i="11"/>
  <c r="D11" i="11"/>
  <c r="C11" i="11"/>
  <c r="B11" i="11"/>
  <c r="K9" i="11"/>
  <c r="H9" i="11"/>
  <c r="G9" i="11"/>
  <c r="F9" i="11"/>
  <c r="E9" i="11"/>
  <c r="D9" i="11"/>
  <c r="C9" i="11"/>
  <c r="B9" i="11"/>
  <c r="K6" i="11"/>
  <c r="H6" i="11"/>
  <c r="G6" i="11"/>
  <c r="F6" i="11"/>
  <c r="E6" i="11"/>
  <c r="D6" i="11"/>
  <c r="C6" i="11"/>
  <c r="B6" i="11"/>
  <c r="K30" i="11"/>
  <c r="H30" i="11"/>
  <c r="G30" i="11"/>
  <c r="F30" i="11"/>
  <c r="E30" i="11"/>
  <c r="D30" i="11"/>
  <c r="C30" i="11"/>
  <c r="B30" i="11"/>
  <c r="K22" i="11"/>
  <c r="H22" i="11"/>
  <c r="G22" i="11"/>
  <c r="F22" i="11"/>
  <c r="E22" i="11"/>
  <c r="D22" i="11"/>
  <c r="C22" i="11"/>
  <c r="B22" i="11"/>
  <c r="K23" i="11"/>
  <c r="H23" i="11"/>
  <c r="G23" i="11"/>
  <c r="F23" i="11"/>
  <c r="E23" i="11"/>
  <c r="D23" i="11"/>
  <c r="C23" i="11"/>
  <c r="B23" i="11"/>
  <c r="K33" i="11"/>
  <c r="J33" i="11"/>
  <c r="H33" i="11"/>
  <c r="G33" i="11"/>
  <c r="I33" i="11" s="1"/>
  <c r="F33" i="11"/>
  <c r="E33" i="11"/>
  <c r="D33" i="11"/>
  <c r="C33" i="11"/>
  <c r="B33" i="11"/>
  <c r="K31" i="11"/>
  <c r="H31" i="11"/>
  <c r="G31" i="11"/>
  <c r="I31" i="11" s="1"/>
  <c r="F31" i="11"/>
  <c r="E31" i="11"/>
  <c r="D31" i="11"/>
  <c r="C31" i="11"/>
  <c r="B31" i="11"/>
  <c r="K27" i="11"/>
  <c r="H27" i="11"/>
  <c r="G27" i="11"/>
  <c r="I27" i="11" s="1"/>
  <c r="F27" i="11"/>
  <c r="E27" i="11"/>
  <c r="D27" i="11"/>
  <c r="C27" i="11"/>
  <c r="B27" i="11"/>
  <c r="K26" i="11"/>
  <c r="J26" i="11"/>
  <c r="H26" i="11"/>
  <c r="G26" i="11"/>
  <c r="I26" i="11" s="1"/>
  <c r="F26" i="11"/>
  <c r="E26" i="11"/>
  <c r="D26" i="11"/>
  <c r="C26" i="11"/>
  <c r="B26" i="11"/>
  <c r="K24" i="11"/>
  <c r="H24" i="11"/>
  <c r="G24" i="11"/>
  <c r="I24" i="11" s="1"/>
  <c r="F24" i="11"/>
  <c r="E24" i="11"/>
  <c r="D24" i="11"/>
  <c r="C24" i="11"/>
  <c r="B24" i="11"/>
  <c r="K32" i="11"/>
  <c r="J32" i="11"/>
  <c r="H32" i="11"/>
  <c r="G32" i="11"/>
  <c r="F32" i="11"/>
  <c r="E32" i="11"/>
  <c r="D32" i="11"/>
  <c r="C32" i="11"/>
  <c r="B32" i="11"/>
  <c r="K21" i="11"/>
  <c r="H21" i="11"/>
  <c r="G21" i="11"/>
  <c r="F21" i="11"/>
  <c r="E21" i="11"/>
  <c r="D21" i="11"/>
  <c r="C21" i="11"/>
  <c r="B21" i="11"/>
  <c r="K25" i="11"/>
  <c r="J25" i="11"/>
  <c r="H25" i="11"/>
  <c r="G25" i="11"/>
  <c r="F25" i="11"/>
  <c r="E25" i="11"/>
  <c r="D25" i="11"/>
  <c r="C25" i="11"/>
  <c r="B25" i="11"/>
  <c r="K28" i="11"/>
  <c r="H28" i="11"/>
  <c r="G28" i="11"/>
  <c r="F28" i="11"/>
  <c r="E28" i="11"/>
  <c r="D28" i="11"/>
  <c r="C28" i="11"/>
  <c r="B28" i="11"/>
  <c r="K29" i="11"/>
  <c r="J29" i="11"/>
  <c r="H29" i="11"/>
  <c r="G29" i="11"/>
  <c r="I29" i="11" s="1"/>
  <c r="F29" i="11"/>
  <c r="E29" i="11"/>
  <c r="D29" i="11"/>
  <c r="C29" i="11"/>
  <c r="B29" i="11"/>
  <c r="K42" i="11"/>
  <c r="J42" i="11"/>
  <c r="H42" i="11"/>
  <c r="G42" i="11"/>
  <c r="I42" i="11" s="1"/>
  <c r="F42" i="11"/>
  <c r="E42" i="11"/>
  <c r="D42" i="11"/>
  <c r="C42" i="11"/>
  <c r="B42" i="11"/>
  <c r="K38" i="11"/>
  <c r="H38" i="11"/>
  <c r="G38" i="11"/>
  <c r="I38" i="11" s="1"/>
  <c r="F38" i="11"/>
  <c r="E38" i="11"/>
  <c r="D38" i="11"/>
  <c r="C38" i="11"/>
  <c r="B38" i="11"/>
  <c r="K47" i="11"/>
  <c r="H47" i="11"/>
  <c r="G47" i="11"/>
  <c r="I47" i="11" s="1"/>
  <c r="F47" i="11"/>
  <c r="E47" i="11"/>
  <c r="D47" i="11"/>
  <c r="C47" i="11"/>
  <c r="B47" i="11"/>
  <c r="K45" i="11"/>
  <c r="H45" i="11"/>
  <c r="G45" i="11"/>
  <c r="I45" i="11" s="1"/>
  <c r="F45" i="11"/>
  <c r="E45" i="11"/>
  <c r="D45" i="11"/>
  <c r="C45" i="11"/>
  <c r="B45" i="11"/>
  <c r="K46" i="11"/>
  <c r="H46" i="11"/>
  <c r="G46" i="11"/>
  <c r="I46" i="11" s="1"/>
  <c r="F46" i="11"/>
  <c r="E46" i="11"/>
  <c r="D46" i="11"/>
  <c r="C46" i="11"/>
  <c r="B46" i="11"/>
  <c r="K41" i="11"/>
  <c r="J41" i="11"/>
  <c r="H41" i="11"/>
  <c r="G41" i="11"/>
  <c r="F41" i="11"/>
  <c r="E41" i="11"/>
  <c r="D41" i="11"/>
  <c r="C41" i="11"/>
  <c r="B41" i="11"/>
  <c r="K48" i="11"/>
  <c r="H48" i="11"/>
  <c r="G48" i="11"/>
  <c r="F48" i="11"/>
  <c r="E48" i="11"/>
  <c r="D48" i="11"/>
  <c r="C48" i="11"/>
  <c r="B48" i="11"/>
  <c r="K43" i="11"/>
  <c r="H43" i="11"/>
  <c r="G43" i="11"/>
  <c r="F43" i="11"/>
  <c r="E43" i="11"/>
  <c r="D43" i="11"/>
  <c r="C43" i="11"/>
  <c r="B43" i="11"/>
  <c r="K49" i="11"/>
  <c r="H49" i="11"/>
  <c r="G49" i="11"/>
  <c r="F49" i="11"/>
  <c r="E49" i="11"/>
  <c r="D49" i="11"/>
  <c r="C49" i="11"/>
  <c r="B49" i="11"/>
  <c r="K39" i="11"/>
  <c r="H39" i="11"/>
  <c r="G39" i="11"/>
  <c r="F39" i="11"/>
  <c r="E39" i="11"/>
  <c r="D39" i="11"/>
  <c r="C39" i="11"/>
  <c r="B39" i="11"/>
  <c r="K40" i="11"/>
  <c r="H40" i="11"/>
  <c r="G40" i="11"/>
  <c r="F40" i="11"/>
  <c r="E40" i="11"/>
  <c r="D40" i="11"/>
  <c r="C40" i="11"/>
  <c r="B40" i="11"/>
  <c r="K44" i="11"/>
  <c r="H44" i="11"/>
  <c r="G44" i="11"/>
  <c r="F44" i="11"/>
  <c r="E44" i="11"/>
  <c r="D44" i="11"/>
  <c r="C44" i="11"/>
  <c r="B44" i="11"/>
  <c r="K61" i="11"/>
  <c r="H61" i="11"/>
  <c r="G61" i="11"/>
  <c r="F61" i="11"/>
  <c r="E61" i="11"/>
  <c r="D61" i="11"/>
  <c r="C61" i="11"/>
  <c r="B61" i="11"/>
  <c r="K57" i="11"/>
  <c r="H57" i="11"/>
  <c r="G57" i="11"/>
  <c r="F57" i="11"/>
  <c r="E57" i="11"/>
  <c r="D57" i="11"/>
  <c r="C57" i="11"/>
  <c r="B57" i="11"/>
  <c r="K59" i="11"/>
  <c r="J59" i="11"/>
  <c r="H59" i="11"/>
  <c r="G59" i="11"/>
  <c r="F59" i="11"/>
  <c r="E59" i="11"/>
  <c r="D59" i="11"/>
  <c r="C59" i="11"/>
  <c r="B59" i="11"/>
  <c r="K60" i="11"/>
  <c r="H60" i="11"/>
  <c r="G60" i="11"/>
  <c r="F60" i="11"/>
  <c r="E60" i="11"/>
  <c r="D60" i="11"/>
  <c r="C60" i="11"/>
  <c r="B60" i="11"/>
  <c r="K58" i="11"/>
  <c r="H58" i="11"/>
  <c r="G58" i="11"/>
  <c r="F58" i="11"/>
  <c r="E58" i="11"/>
  <c r="D58" i="11"/>
  <c r="C58" i="11"/>
  <c r="B58" i="11"/>
  <c r="K62" i="11"/>
  <c r="J62" i="11"/>
  <c r="H62" i="11"/>
  <c r="G62" i="11"/>
  <c r="F62" i="11"/>
  <c r="E62" i="11"/>
  <c r="D62" i="11"/>
  <c r="C62" i="11"/>
  <c r="B62" i="11"/>
  <c r="K64" i="11"/>
  <c r="J64" i="11"/>
  <c r="H64" i="11"/>
  <c r="G64" i="11"/>
  <c r="I64" i="11" s="1"/>
  <c r="F64" i="11"/>
  <c r="E64" i="11"/>
  <c r="D64" i="11"/>
  <c r="C64" i="11"/>
  <c r="B64" i="11"/>
  <c r="K55" i="11"/>
  <c r="H55" i="11"/>
  <c r="G55" i="11"/>
  <c r="I55" i="11" s="1"/>
  <c r="F55" i="11"/>
  <c r="E55" i="11"/>
  <c r="D55" i="11"/>
  <c r="C55" i="11"/>
  <c r="B55" i="11"/>
  <c r="K56" i="11"/>
  <c r="H56" i="11"/>
  <c r="G56" i="11"/>
  <c r="I56" i="11" s="1"/>
  <c r="F56" i="11"/>
  <c r="E56" i="11"/>
  <c r="D56" i="11"/>
  <c r="C56" i="11"/>
  <c r="B56" i="11"/>
  <c r="K63" i="11"/>
  <c r="J63" i="11"/>
  <c r="H63" i="11"/>
  <c r="G63" i="11"/>
  <c r="F63" i="11"/>
  <c r="E63" i="11"/>
  <c r="D63" i="11"/>
  <c r="C63" i="11"/>
  <c r="B63" i="11"/>
  <c r="K54" i="11"/>
  <c r="H54" i="11"/>
  <c r="G54" i="11"/>
  <c r="F54" i="11"/>
  <c r="E54" i="11"/>
  <c r="D54" i="11"/>
  <c r="C54" i="11"/>
  <c r="B54" i="11"/>
  <c r="K65" i="11"/>
  <c r="H65" i="11"/>
  <c r="G65" i="11"/>
  <c r="F65" i="11"/>
  <c r="E65" i="11"/>
  <c r="D65" i="11"/>
  <c r="C65" i="11"/>
  <c r="B65" i="11"/>
  <c r="A57" i="9"/>
  <c r="A60" i="9" s="1"/>
  <c r="A63" i="9" s="1"/>
  <c r="I57" i="11" l="1"/>
  <c r="I61" i="11"/>
  <c r="I44" i="11"/>
  <c r="I40" i="11"/>
  <c r="I39" i="11"/>
  <c r="I49" i="11"/>
  <c r="I43" i="11"/>
  <c r="I48" i="11"/>
  <c r="I41" i="11"/>
  <c r="I21" i="11"/>
  <c r="I32" i="11"/>
  <c r="I58" i="11"/>
  <c r="I60" i="11"/>
  <c r="I28" i="11"/>
  <c r="I25" i="11"/>
  <c r="I23" i="11"/>
  <c r="I22" i="11"/>
  <c r="I30" i="11"/>
  <c r="I6" i="11"/>
  <c r="I9" i="11"/>
  <c r="I11" i="11"/>
  <c r="I16" i="11"/>
  <c r="I59" i="11"/>
  <c r="I65" i="11"/>
  <c r="I54" i="11"/>
  <c r="I63" i="11"/>
  <c r="I62" i="11"/>
</calcChain>
</file>

<file path=xl/sharedStrings.xml><?xml version="1.0" encoding="utf-8"?>
<sst xmlns="http://schemas.openxmlformats.org/spreadsheetml/2006/main" count="725" uniqueCount="632">
  <si>
    <t>PREMIER DIVISION</t>
  </si>
  <si>
    <t>Played</t>
  </si>
  <si>
    <t>Won</t>
  </si>
  <si>
    <t>Lost</t>
  </si>
  <si>
    <t>Lost &gt;50%</t>
  </si>
  <si>
    <t>Drawn</t>
  </si>
  <si>
    <t>GF</t>
  </si>
  <si>
    <t>GA</t>
  </si>
  <si>
    <t>GD</t>
  </si>
  <si>
    <t>Deducted</t>
  </si>
  <si>
    <t>Points</t>
  </si>
  <si>
    <t>Netters Diamonds</t>
  </si>
  <si>
    <t>Netters Flames</t>
  </si>
  <si>
    <t>Futureprint</t>
  </si>
  <si>
    <t>Amber Jets</t>
  </si>
  <si>
    <t>Olney 1</t>
  </si>
  <si>
    <t>Leighton Buzzard 1</t>
  </si>
  <si>
    <t>Brackley Falcons</t>
  </si>
  <si>
    <t>DIVISION 1</t>
  </si>
  <si>
    <t>Chelbridge Rockets</t>
  </si>
  <si>
    <t>Chelbridge Flyers</t>
  </si>
  <si>
    <t>Ashmore</t>
  </si>
  <si>
    <t>Netters Blaze</t>
  </si>
  <si>
    <t>Panthers Onyx</t>
  </si>
  <si>
    <t>Olney 2</t>
  </si>
  <si>
    <t>Fusion</t>
  </si>
  <si>
    <t>DIVISION 2</t>
  </si>
  <si>
    <t>Brackley Eagles</t>
  </si>
  <si>
    <t>Breezers</t>
  </si>
  <si>
    <t>Netters Embers</t>
  </si>
  <si>
    <t>Time Systems</t>
  </si>
  <si>
    <t>Coopers</t>
  </si>
  <si>
    <t>Longville Ladies</t>
  </si>
  <si>
    <t>Inde Tech</t>
  </si>
  <si>
    <t>DIVISION 3</t>
  </si>
  <si>
    <t>Chelbridge Jets</t>
  </si>
  <si>
    <t>Rockers</t>
  </si>
  <si>
    <t>Bletchley College</t>
  </si>
  <si>
    <t>Bletchley Leisure Centre</t>
  </si>
  <si>
    <t>Woughton Leisure Centre</t>
  </si>
  <si>
    <t>Hazeley</t>
  </si>
  <si>
    <t>MK Sapphires</t>
  </si>
  <si>
    <t>Notes</t>
  </si>
  <si>
    <t>LB Comets</t>
  </si>
  <si>
    <t>Schuco</t>
  </si>
  <si>
    <t>Quantum Titans</t>
  </si>
  <si>
    <t>SAS</t>
  </si>
  <si>
    <t>Amazons</t>
  </si>
  <si>
    <t>Longville Netbusters</t>
  </si>
  <si>
    <t>Railway Rockets</t>
  </si>
  <si>
    <t>Olney 1 vs. Brackley Falcons</t>
  </si>
  <si>
    <t>Longville Ladies vs. Quantum Titans</t>
  </si>
  <si>
    <t>nu Trojans vs. Futureprint</t>
  </si>
  <si>
    <t>Futureprint vs. Amber Jets</t>
  </si>
  <si>
    <t>Chelbridge Jets vs. nu Prophets</t>
  </si>
  <si>
    <t>Rockers vs. Fusion</t>
  </si>
  <si>
    <t>Panthers Onyx vs. Longville Ladies</t>
  </si>
  <si>
    <t>nu Trojans vs. Netters Flames</t>
  </si>
  <si>
    <t>Rockers vs. nu Prophets</t>
  </si>
  <si>
    <t>Netters Diamonds vs. Brackley Falcons</t>
  </si>
  <si>
    <t>Railway Rockets vs. Chelbridge Jets</t>
  </si>
  <si>
    <t>Rockers vs. Amazons</t>
  </si>
  <si>
    <t>Brackley Falcons vs. Netters Flames</t>
  </si>
  <si>
    <t>MK Sapphires vs. Futureprint</t>
  </si>
  <si>
    <t>Longville Netbusters vs. Chelbridge Jets</t>
  </si>
  <si>
    <t>Netters Diamonds vs. MK Sapphires</t>
  </si>
  <si>
    <t>Brackley Eagles vs. Chelbridge Flyers</t>
  </si>
  <si>
    <t>Fusion vs. Amazons</t>
  </si>
  <si>
    <t>Inde Tech vs. Longville Ladies</t>
  </si>
  <si>
    <t>nu Prophets vs. Amazons</t>
  </si>
  <si>
    <t>MK Ballers</t>
  </si>
  <si>
    <t>Nu Trojans</t>
  </si>
  <si>
    <t>MK Dynamos</t>
  </si>
  <si>
    <t>Nu Aztecs</t>
  </si>
  <si>
    <t>Nu Zodiacs</t>
  </si>
  <si>
    <t>Panthers Jets</t>
  </si>
  <si>
    <t>Netters Ice</t>
  </si>
  <si>
    <t>Technip Flames</t>
  </si>
  <si>
    <t>VWG</t>
  </si>
  <si>
    <t>Chelbridge Arrows</t>
  </si>
  <si>
    <t>Lightning</t>
  </si>
  <si>
    <t>Netters Flames vs. Olney 1</t>
  </si>
  <si>
    <t>MK Dynamos vs. Netters Embers</t>
  </si>
  <si>
    <t>Quantum Titans vs. Panthers Onyx</t>
  </si>
  <si>
    <t>Inde Tech vs. Netters Blaze</t>
  </si>
  <si>
    <t>Netters Embers vs. Panthers Jets</t>
  </si>
  <si>
    <t>nu Aztecs vs. nu Zodiacs</t>
  </si>
  <si>
    <t>Amber Jets vs. Netters Flames</t>
  </si>
  <si>
    <t>SAS vs. Panthers Onyx</t>
  </si>
  <si>
    <t>MK Ballers vs. nu Trojans</t>
  </si>
  <si>
    <t>Longville Netbusters vs. Amazons</t>
  </si>
  <si>
    <t>Olney 1 vs. Amber Jets</t>
  </si>
  <si>
    <t>nu Aztecs vs. Netters Embers</t>
  </si>
  <si>
    <t>Chelbridge Rockets vs. Panthers Jets</t>
  </si>
  <si>
    <t>Ashmore vs. MK Storm</t>
  </si>
  <si>
    <t>Olney 1 vs. MK Ballers</t>
  </si>
  <si>
    <t>MK Dynamos vs. Chelbridge Rockets</t>
  </si>
  <si>
    <t>Olney 1 vs. Futureprint</t>
  </si>
  <si>
    <t>Panthers Jets vs. Chelbridge Flyers</t>
  </si>
  <si>
    <t>Chelbridge Flyers vs. nu Zodiacs</t>
  </si>
  <si>
    <t>Lightning vs. Amazons</t>
  </si>
  <si>
    <t>MK Ballers vs. Amber Jets</t>
  </si>
  <si>
    <t>nu Zodiacs vs. Brackley Eagles</t>
  </si>
  <si>
    <t>Netters Ice vs. Longville Ladies</t>
  </si>
  <si>
    <t>Panthers Jets vs. Brackley Eagles</t>
  </si>
  <si>
    <t>Issues</t>
  </si>
  <si>
    <t>Netters Flames vs. LB1</t>
  </si>
  <si>
    <t>LB Comets vs. Breezers</t>
  </si>
  <si>
    <t>Longville Ladies vs. Netters Blaze</t>
  </si>
  <si>
    <t>LB1 vs. Futureprint</t>
  </si>
  <si>
    <t>Brackley Eagles vs. Chelbridge Rockets</t>
  </si>
  <si>
    <t>Coopers vs. Panthers Onyx</t>
  </si>
  <si>
    <t>Lightning vs. Chelbridge Jets</t>
  </si>
  <si>
    <t>Coopers vs. Netters Blaze</t>
  </si>
  <si>
    <t>Chelbridge Rockets vs. nu Zodiacs</t>
  </si>
  <si>
    <t>MK Sapphires vs. LB1</t>
  </si>
  <si>
    <t>Panthers Onyx vs. Inde Tech</t>
  </si>
  <si>
    <t>Amber Jets vs. nu Trojans</t>
  </si>
  <si>
    <t>Netters Embers vs. Chelbridge Rockets</t>
  </si>
  <si>
    <t>Brackley Eagles vs. MK Dynamos</t>
  </si>
  <si>
    <t>Coopers vs. Inde Tech</t>
  </si>
  <si>
    <t>MK Sapphires vs. Amber Jets</t>
  </si>
  <si>
    <t>Quantum Titans vs. SAS</t>
  </si>
  <si>
    <t>MK Sapphires vs. Olney 1</t>
  </si>
  <si>
    <t>Chelbridge Rockets vs. nu Aztecs</t>
  </si>
  <si>
    <t>Futureprint vs. MK Ballers</t>
  </si>
  <si>
    <t>Netters Flames vs. Netters Diamonds</t>
  </si>
  <si>
    <t>Coopers vs. Longville Ladies</t>
  </si>
  <si>
    <t>Inde Tech vs. SAS</t>
  </si>
  <si>
    <t>Shenley</t>
  </si>
  <si>
    <t>Radcliffe</t>
  </si>
  <si>
    <t>MK Sapphires vs. MK Ballers</t>
  </si>
  <si>
    <t>Amazons vs. Dragons</t>
  </si>
  <si>
    <t>MK Storm vs. Cranfield Roses</t>
  </si>
  <si>
    <t>Amber Jets vs. Netters Diamonds</t>
  </si>
  <si>
    <t>Brackley Falcons vs. Futureprint</t>
  </si>
  <si>
    <t>Fusion vs. Chelbridge Jets</t>
  </si>
  <si>
    <t>Time Systems vs. Ashmore</t>
  </si>
  <si>
    <t>LB1 vs. nu Trojans</t>
  </si>
  <si>
    <t>Breezers vs. Netters Ice</t>
  </si>
  <si>
    <t>Chelbridge Rockets vs. Leighton Buzzard 2</t>
  </si>
  <si>
    <t>Lightning vs. Longville Netbusters</t>
  </si>
  <si>
    <t>Schuco vs. Olney 1</t>
  </si>
  <si>
    <t>Fusion vs. Longville Netbusters</t>
  </si>
  <si>
    <t>MK Dynamos vs. Ashmore</t>
  </si>
  <si>
    <t>VWG vs. Railway Rockets</t>
  </si>
  <si>
    <t>Panthers Jets vs. MK Storm</t>
  </si>
  <si>
    <t>Olney 2 vs. Chelbridge Arrows</t>
  </si>
  <si>
    <t>Lightning vs. Dragons</t>
  </si>
  <si>
    <t>Time Systems vs. Leighton Buzzard 2</t>
  </si>
  <si>
    <t>Technip Flames vs. nu Amazons</t>
  </si>
  <si>
    <t>Chelbridge Flyers vs. Cranfield Roses</t>
  </si>
  <si>
    <t>Chelbridge Jets vs. Amazons</t>
  </si>
  <si>
    <t>Coopers vs. LB Comets</t>
  </si>
  <si>
    <t>Netters Ice vs. Netters Blaze</t>
  </si>
  <si>
    <t>Longville Netbusters vs. nu Prophets</t>
  </si>
  <si>
    <t>Lightning vs. nu Amazons</t>
  </si>
  <si>
    <t>nu Aztecs vs. Ashmore</t>
  </si>
  <si>
    <t>Breezers vs. Longville Ladies</t>
  </si>
  <si>
    <t>Railway Rockets vs. Rockers</t>
  </si>
  <si>
    <t>Dragons vs. Fusion</t>
  </si>
  <si>
    <t>nu Zodiacs vs. MK Storm</t>
  </si>
  <si>
    <t>MK Ballers vs. LB1</t>
  </si>
  <si>
    <t>Technip Flames vs. VWG</t>
  </si>
  <si>
    <t>Chelbridge Rockets vs. Time Systems</t>
  </si>
  <si>
    <t>Chelbridge Arrows vs. Quantum Titans</t>
  </si>
  <si>
    <t>Netters Diamonds vs. MK Ballers</t>
  </si>
  <si>
    <t>Technip Flames vs. Rockers</t>
  </si>
  <si>
    <t>Olney 2 vs. SAS</t>
  </si>
  <si>
    <t>nu Amazons vs. VWG</t>
  </si>
  <si>
    <t>Chelbridge Flyers vs. Leighton Buzzard 2</t>
  </si>
  <si>
    <t>Railway Rockets vs. Dragons</t>
  </si>
  <si>
    <t>Schuco vs. Amber Jets</t>
  </si>
  <si>
    <t>nu Trojans vs. Olney 1</t>
  </si>
  <si>
    <t>Panthers Onyx vs. Breezers</t>
  </si>
  <si>
    <t>Cranfield Roses vs. Ashmore</t>
  </si>
  <si>
    <t>VWG vs. nu Prophets</t>
  </si>
  <si>
    <t>Netters Flames vs. Schuco</t>
  </si>
  <si>
    <t>LB Comets vs. Netters Ice</t>
  </si>
  <si>
    <t>Fusion vs. nu Amazons</t>
  </si>
  <si>
    <t>Panthers Jets vs. nu Zodiacs</t>
  </si>
  <si>
    <t>MK Storm vs. Brackley Eagles</t>
  </si>
  <si>
    <t>Inde Tech vs. Chelbridge Arrows</t>
  </si>
  <si>
    <t>Leighton Buzzard 2 vs. nu Aztecs</t>
  </si>
  <si>
    <t>Lightning vs. Rockers</t>
  </si>
  <si>
    <t>Netters Diamonds vs. Schuco</t>
  </si>
  <si>
    <t>Cranfield Roses vs. Chelbridge Rockets</t>
  </si>
  <si>
    <t>Olney 2 vs. Coopers</t>
  </si>
  <si>
    <t>Time Systems vs. MK Dynamos</t>
  </si>
  <si>
    <t>Technip Flames vs. Dragons</t>
  </si>
  <si>
    <t>MK Ballers vs. Brackley Falcons</t>
  </si>
  <si>
    <t>SAS vs. LB Comets</t>
  </si>
  <si>
    <t>Brackley Eagles vs. Leighton Buzzard 2</t>
  </si>
  <si>
    <t>Dragons vs. Longville Netbusters</t>
  </si>
  <si>
    <t>nu Trojans vs. Netters Diamonds</t>
  </si>
  <si>
    <t>Rockers vs. VWG</t>
  </si>
  <si>
    <t>Netters Embers vs. Ashmore</t>
  </si>
  <si>
    <t>LB1 vs. Brackley Falcons</t>
  </si>
  <si>
    <t>nu Amazons vs. nu Prophets</t>
  </si>
  <si>
    <t>Panthers Jets vs. MK Dynamos</t>
  </si>
  <si>
    <t>Netters Embers vs. Leighton Buzzard 2</t>
  </si>
  <si>
    <t>Breezers vs. Chelbridge Arrows</t>
  </si>
  <si>
    <t>Netters Ice vs. Olney 2</t>
  </si>
  <si>
    <t>Dragons vs. nu Amazons</t>
  </si>
  <si>
    <t>MK Storm vs. Chelbridge Flyers</t>
  </si>
  <si>
    <t>Time Systems vs. Panthers Jets</t>
  </si>
  <si>
    <t>LB Comets vs. Longville Ladies</t>
  </si>
  <si>
    <t>Cranfield Roses vs. nu Aztecs</t>
  </si>
  <si>
    <t>Panthers Onyx vs. Netters Blaze</t>
  </si>
  <si>
    <t>Brackley Falcons vs. MK Sapphires</t>
  </si>
  <si>
    <t>MK Dynamos vs. Chelbridge Flyers</t>
  </si>
  <si>
    <t>Lightning vs. nu Prophets</t>
  </si>
  <si>
    <t>VWG vs. Amazons</t>
  </si>
  <si>
    <t>LB1 vs. Netters Diamonds</t>
  </si>
  <si>
    <t>nu Amazons vs. Longville Netbusters</t>
  </si>
  <si>
    <t>Schuco vs. nu Trojans</t>
  </si>
  <si>
    <t>Rockers vs. Dragons</t>
  </si>
  <si>
    <t>Ashmore vs. Brackley Eagles</t>
  </si>
  <si>
    <t>Fusion vs. Railway Rockets</t>
  </si>
  <si>
    <t>Quantum Titans vs. Netters Blaze</t>
  </si>
  <si>
    <t>Netters Ice vs. Inde Tech</t>
  </si>
  <si>
    <t>MK Storm vs. Time Systems</t>
  </si>
  <si>
    <t>Schuco vs. Brackley Falcons</t>
  </si>
  <si>
    <t>nu Aztecs vs. Brackley Eagles</t>
  </si>
  <si>
    <t>Olney 2 vs. LB Comets</t>
  </si>
  <si>
    <t>Cranfield Roses vs. nu Zodiacs</t>
  </si>
  <si>
    <t>Leighton Buzzard 2 vs. Panthers Jets</t>
  </si>
  <si>
    <t>Chelbridge Arrows vs. Coopers</t>
  </si>
  <si>
    <t>SAS vs. Breezers</t>
  </si>
  <si>
    <t>Netters Flames vs. MK Sapphires</t>
  </si>
  <si>
    <t>Longville Netbusters vs. Railway Rockets</t>
  </si>
  <si>
    <t>Longville Ladies vs. SAS</t>
  </si>
  <si>
    <t>nu Zodiacs vs. Leighton Buzzard 2</t>
  </si>
  <si>
    <t>Netters Blaze vs. Chelbridge Arrows</t>
  </si>
  <si>
    <t>Cranfield Roses vs. Time Systems</t>
  </si>
  <si>
    <t>Lightning vs. Technip Flames</t>
  </si>
  <si>
    <t>Quantum Titans vs. Olney 2</t>
  </si>
  <si>
    <t>MK Storm vs. MK Dynamos</t>
  </si>
  <si>
    <t>Panthers Onyx vs. Netters Ice</t>
  </si>
  <si>
    <t>Ashmore vs. Chelbridge Flyers</t>
  </si>
  <si>
    <t>Chelbridge Jets vs. VWG</t>
  </si>
  <si>
    <t>Brackley Eagles vs. Netters Embers</t>
  </si>
  <si>
    <t>Chelbridge Flyers vs. Time Systems</t>
  </si>
  <si>
    <t>Brackley Falcons vs. nu Trojans</t>
  </si>
  <si>
    <t>Fusion vs. nu Prophets</t>
  </si>
  <si>
    <t>Olney 2 vs. Longville Ladies</t>
  </si>
  <si>
    <t>Futureprint vs. Netters Diamonds</t>
  </si>
  <si>
    <t>MK Sapphires vs. Schuco</t>
  </si>
  <si>
    <t>nu Amazons vs. Rockers</t>
  </si>
  <si>
    <t>Netters Ice vs. Quantum Titans</t>
  </si>
  <si>
    <t>nu Aztecs vs. MK Dynamos</t>
  </si>
  <si>
    <t>Amazons vs. Technip Flames</t>
  </si>
  <si>
    <t>LB Comets vs. Panthers Onyx</t>
  </si>
  <si>
    <t>nu Prophets vs. Technip Flames</t>
  </si>
  <si>
    <t>Dragons vs. VWG</t>
  </si>
  <si>
    <t>LB1 vs. Amber Jets</t>
  </si>
  <si>
    <t>Coopers vs. SAS</t>
  </si>
  <si>
    <t>Chelbridge Jets vs. nu Amazons</t>
  </si>
  <si>
    <t>Lightning vs. Railway Rockets</t>
  </si>
  <si>
    <t>Cranfield Roses vs. Leighton Buzzard 2</t>
  </si>
  <si>
    <t>Netters Blaze vs. Breezers</t>
  </si>
  <si>
    <t>Longville Netbusters vs. Rockers</t>
  </si>
  <si>
    <t>nu Zodiacs vs. Netters Embers</t>
  </si>
  <si>
    <t>Amazons vs. Railway Rockets</t>
  </si>
  <si>
    <t>Inde Tech v. LB Comets</t>
  </si>
  <si>
    <t>MK Dynamos vs. nu Zodiacs</t>
  </si>
  <si>
    <t>Panthers Onyx vs. Chelbridge Arrows</t>
  </si>
  <si>
    <t>Ashmore vs. Leighton Buzzard 2</t>
  </si>
  <si>
    <t>Lightning vs. Fusion</t>
  </si>
  <si>
    <t>Netters Ice vs. SAS</t>
  </si>
  <si>
    <t>MK Storm vs. Chelbridge Rockets</t>
  </si>
  <si>
    <t>Olney 2 vs. Breezers</t>
  </si>
  <si>
    <t>Chelbridge Flyers vs. Netters Embers</t>
  </si>
  <si>
    <t>Longville Netbusters vs. VWG</t>
  </si>
  <si>
    <t>Quantum Titans vs. Coopers</t>
  </si>
  <si>
    <t>Time Systems vs. nu Aztecs</t>
  </si>
  <si>
    <t>Chelbridge Flyers vs. Chelbridge Rockets</t>
  </si>
  <si>
    <t>MK Sapphires vs. nu Trojans</t>
  </si>
  <si>
    <t>LB1 vs. Schuco</t>
  </si>
  <si>
    <t>Netters Embers vs. Time Systems</t>
  </si>
  <si>
    <t>Technip Flames vs. Longville Netbusters</t>
  </si>
  <si>
    <t>MK Storm vs. nu Aztecs</t>
  </si>
  <si>
    <t>MK Ballers vs. Netters Flames</t>
  </si>
  <si>
    <t>Brackley Falcons vs. Amber Jets</t>
  </si>
  <si>
    <t>nu Amazons vs. Amazons</t>
  </si>
  <si>
    <t>MK Dynamos vs. Cranfield Roses</t>
  </si>
  <si>
    <t>Netters Diamonds vs. Olney 1</t>
  </si>
  <si>
    <t>Panthers Jets vs. Ashmore</t>
  </si>
  <si>
    <t>Chelbridge Jets vs. Rockers</t>
  </si>
  <si>
    <t>Panthers Jets vs. Cranfield Roses</t>
  </si>
  <si>
    <t>Technip Flames vs. Fusion</t>
  </si>
  <si>
    <t>Longville Ladies vs. Chelbridge Arrows</t>
  </si>
  <si>
    <t>Railway Rockets vs.nu Amazons</t>
  </si>
  <si>
    <t>Leighton Buzzard 2 vs. MK Storm</t>
  </si>
  <si>
    <t>SAS vs. Netters Blaze</t>
  </si>
  <si>
    <t>Lightning vs. VWG</t>
  </si>
  <si>
    <t>LB Comets vs. Quantum Titans</t>
  </si>
  <si>
    <t>Brackley Eagles vs. Time Systems</t>
  </si>
  <si>
    <t>nu Prophets vs. Dragons</t>
  </si>
  <si>
    <t>Inde Tech vs. Breezers</t>
  </si>
  <si>
    <t>Futureprint vs. Netters Flames</t>
  </si>
  <si>
    <t>Schuco vs. MK Ballers</t>
  </si>
  <si>
    <t>Quantum Titans vs. Inde Tech</t>
  </si>
  <si>
    <t>MK Storm vs. Netters Embers</t>
  </si>
  <si>
    <t>Olney 2 vs. Netters Blaze</t>
  </si>
  <si>
    <t>Breezers vs. Coopers</t>
  </si>
  <si>
    <t>LB Comets vs. Chelbridge Arrows</t>
  </si>
  <si>
    <t>Netters Blaze vs. LB Comets</t>
  </si>
  <si>
    <t>Olney 2 vs. Panthers Onyx</t>
  </si>
  <si>
    <t>Time Systems vs. nu Zodiacs</t>
  </si>
  <si>
    <t>Dragons vs. Chelbridge Jets</t>
  </si>
  <si>
    <t>Ashmore vs. Chelbridge Rockets</t>
  </si>
  <si>
    <t>Netters Ice vs. Coopers</t>
  </si>
  <si>
    <t>Chelbridge Arrows vs. SAS</t>
  </si>
  <si>
    <t>Cranfield Roses vs. Netters Embers</t>
  </si>
  <si>
    <t>Fusion vs. VWG</t>
  </si>
  <si>
    <t>MK Dynamos vs. Leighton Buzzard 2</t>
  </si>
  <si>
    <t>nu Prophets vs. Railway Rockets</t>
  </si>
  <si>
    <t>Panthers Jets vs. nu Aztecs</t>
  </si>
  <si>
    <t>29 - 35</t>
  </si>
  <si>
    <t>13 - 13</t>
  </si>
  <si>
    <t>Cancelled</t>
  </si>
  <si>
    <t>Friendly</t>
  </si>
  <si>
    <t>29 - 22</t>
  </si>
  <si>
    <t>18 - 40</t>
  </si>
  <si>
    <t>32 - 29</t>
  </si>
  <si>
    <t>19 - 28</t>
  </si>
  <si>
    <t>43 - 16</t>
  </si>
  <si>
    <t>16 - 45</t>
  </si>
  <si>
    <t>42 - 21</t>
  </si>
  <si>
    <t>40 - 17</t>
  </si>
  <si>
    <t>42 - 13</t>
  </si>
  <si>
    <t>53 - 28</t>
  </si>
  <si>
    <t>21 - 32</t>
  </si>
  <si>
    <t>Leighton Buzzard 2</t>
  </si>
  <si>
    <t>Mk Storm</t>
  </si>
  <si>
    <t>Cranfield Roses</t>
  </si>
  <si>
    <t>Dragons</t>
  </si>
  <si>
    <t>nu Prophets</t>
  </si>
  <si>
    <t>nu Amazons</t>
  </si>
  <si>
    <t xml:space="preserve"> * denotes issues to be discussed and confirmed at the next committee meeting</t>
  </si>
  <si>
    <t xml:space="preserve">06/09 Amber Jets v N Diamonds - Friendly played. LB1 deducted 3 points for failing to provide an umpire. Both teams awarded a draw with goals to be averaged at season end. </t>
  </si>
  <si>
    <t>34 - 24</t>
  </si>
  <si>
    <t>29 - 29</t>
  </si>
  <si>
    <t>39 - 29</t>
  </si>
  <si>
    <t>22 - 38</t>
  </si>
  <si>
    <t>31 - 21</t>
  </si>
  <si>
    <t>19 - 61</t>
  </si>
  <si>
    <t>46 - 24</t>
  </si>
  <si>
    <t>28 - 32</t>
  </si>
  <si>
    <t>16 - 25</t>
  </si>
  <si>
    <t>51 - 22</t>
  </si>
  <si>
    <t>36 - 24</t>
  </si>
  <si>
    <t>20 - 12</t>
  </si>
  <si>
    <t>45 - 38</t>
  </si>
  <si>
    <t>30 - 29</t>
  </si>
  <si>
    <t>17 - 12</t>
  </si>
  <si>
    <t>17 - 36</t>
  </si>
  <si>
    <t>40 - 33</t>
  </si>
  <si>
    <t>21 - 38</t>
  </si>
  <si>
    <t>16 - 22</t>
  </si>
  <si>
    <t>34 - 17</t>
  </si>
  <si>
    <t>37 - 32</t>
  </si>
  <si>
    <t>23 - 30</t>
  </si>
  <si>
    <t>39 - 50</t>
  </si>
  <si>
    <t>15 - 23</t>
  </si>
  <si>
    <t>13 - 30</t>
  </si>
  <si>
    <t>21- 30</t>
  </si>
  <si>
    <t>45 - 28</t>
  </si>
  <si>
    <t>27 - 20</t>
  </si>
  <si>
    <t>04/10 LB Comets vs Netters Ice, LB Comets conceeded the match. Game awarded to Netters Ice with goals to be averaged at season end.</t>
  </si>
  <si>
    <t>06/09  MK Storm v Cranfield Roses - Game cancelled by Cranfield Roses - 3 points awarded to MK Storm with goals to be averaged at season end.</t>
  </si>
  <si>
    <r>
      <t xml:space="preserve">06/09 In line with MKINL rules Olney 2 deducted 6 points for not providing 3 (arriving </t>
    </r>
    <r>
      <rPr>
        <b/>
        <sz val="10"/>
        <rFont val="Arial"/>
        <family val="2"/>
      </rPr>
      <t>at</t>
    </r>
    <r>
      <rPr>
        <sz val="10"/>
        <rFont val="Arial"/>
        <family val="2"/>
      </rPr>
      <t xml:space="preserve"> 7 with 2) members for duty.</t>
    </r>
  </si>
  <si>
    <t>06/09 Brackley Eagles receive a point deduction for playing 2 unaffiliated players.  In line with MKINL rules any points won by B Eagles will be deducted and the win awarded to the opposing team if applicable.</t>
  </si>
  <si>
    <t xml:space="preserve">06/09 LB1 vs nu Trojans In line with MKINL rules multi-team CLUB players are allowed to play up twice to the team DIRECTLY seeded above their own. (Comets to LB1)  Failure to comply - </t>
  </si>
  <si>
    <t xml:space="preserve">         results in any points won in match in which the offending player played being deducted, along with a 1 point penalty deduction per match.  The non-offending team (s) will be awarded the match, if applicable.</t>
  </si>
  <si>
    <t>28 - 38</t>
  </si>
  <si>
    <t>18 - 32</t>
  </si>
  <si>
    <t>30 - 46</t>
  </si>
  <si>
    <t>27 - 36</t>
  </si>
  <si>
    <t>15 - 7</t>
  </si>
  <si>
    <t>39 - 26</t>
  </si>
  <si>
    <t>19 - 23</t>
  </si>
  <si>
    <t>20 - 34</t>
  </si>
  <si>
    <t>37 - 37</t>
  </si>
  <si>
    <t>48 - 20</t>
  </si>
  <si>
    <t>16 - 40</t>
  </si>
  <si>
    <t>33 - 30</t>
  </si>
  <si>
    <t>12 - 36</t>
  </si>
  <si>
    <t>33 - 34</t>
  </si>
  <si>
    <t>16 - 31</t>
  </si>
  <si>
    <t>46 - 36</t>
  </si>
  <si>
    <t>Conceeded</t>
  </si>
  <si>
    <t>26 - 37</t>
  </si>
  <si>
    <t>12 - 37</t>
  </si>
  <si>
    <t>38 - 31</t>
  </si>
  <si>
    <t>35 - 19</t>
  </si>
  <si>
    <t>13 - 15</t>
  </si>
  <si>
    <t>26 - 38</t>
  </si>
  <si>
    <t>24 - 41</t>
  </si>
  <si>
    <t>26 - 40</t>
  </si>
  <si>
    <t>34 - 40</t>
  </si>
  <si>
    <t>12 - 7</t>
  </si>
  <si>
    <t>27 - 37</t>
  </si>
  <si>
    <t>37 - 28</t>
  </si>
  <si>
    <t>17 - 13</t>
  </si>
  <si>
    <t>36 - 35</t>
  </si>
  <si>
    <t>35 - 33</t>
  </si>
  <si>
    <t>23 - 45</t>
  </si>
  <si>
    <t>43 - 28</t>
  </si>
  <si>
    <t>38 - 38</t>
  </si>
  <si>
    <t>17 - 22</t>
  </si>
  <si>
    <t>25 - 47</t>
  </si>
  <si>
    <t>38 - 37</t>
  </si>
  <si>
    <t>21 - 16</t>
  </si>
  <si>
    <t>47 - 27</t>
  </si>
  <si>
    <t>33 - 29</t>
  </si>
  <si>
    <t>28 - 33</t>
  </si>
  <si>
    <t>35 - 46</t>
  </si>
  <si>
    <t>20 - 26</t>
  </si>
  <si>
    <t>31 - 29</t>
  </si>
  <si>
    <t>26 - 8</t>
  </si>
  <si>
    <t>46 - 52</t>
  </si>
  <si>
    <t>24 - 31</t>
  </si>
  <si>
    <t>19 - 21</t>
  </si>
  <si>
    <t>cancelled</t>
  </si>
  <si>
    <t>15 - 33</t>
  </si>
  <si>
    <t>25 - 46</t>
  </si>
  <si>
    <t>42 - 29</t>
  </si>
  <si>
    <t>13 - 22</t>
  </si>
  <si>
    <t>38 - 21</t>
  </si>
  <si>
    <t>20 - 19</t>
  </si>
  <si>
    <t>25/10 The following teams have been deducted 2 points for failing to hand in the Team master signature sheet before the deadline of 30th September: Netters Ice, Dragons, LB1, LB2 and Schuco.</t>
  </si>
  <si>
    <t>04/10 Netters Ice receive a point deduction for playing an unaffiliated player.  In line with MKINL rules any points won by Netters Ice will be deducted and the win awarded to the opposing team (LB Comets).</t>
  </si>
  <si>
    <t>25/10 Chelbridge Rockets v nu Zodiacs - Game cancelled by nu Zodiacs - 3 points awarded to Chelbridge Rockets with goals to be averaged at season end.</t>
  </si>
  <si>
    <t>35 - 25</t>
  </si>
  <si>
    <t>Technip Flames vs. Chelbridge Jets</t>
  </si>
  <si>
    <t>25 - 32</t>
  </si>
  <si>
    <t>50 - 39</t>
  </si>
  <si>
    <t>24 - 47</t>
  </si>
  <si>
    <t>28 - 8</t>
  </si>
  <si>
    <t>29 - 38</t>
  </si>
  <si>
    <t>13 - 7</t>
  </si>
  <si>
    <t>17 - 40</t>
  </si>
  <si>
    <t>42 - 31</t>
  </si>
  <si>
    <t>31 - 17</t>
  </si>
  <si>
    <t>35 - 26</t>
  </si>
  <si>
    <t>42 - 37</t>
  </si>
  <si>
    <t>32 - 20</t>
  </si>
  <si>
    <t>35 - 18</t>
  </si>
  <si>
    <t xml:space="preserve">33 - 46 </t>
  </si>
  <si>
    <t>19 - 45</t>
  </si>
  <si>
    <t>36 - 46</t>
  </si>
  <si>
    <t>27 - 41</t>
  </si>
  <si>
    <t>38 - 22</t>
  </si>
  <si>
    <t>26 - 24</t>
  </si>
  <si>
    <t>48 - 24</t>
  </si>
  <si>
    <t>35 - 27</t>
  </si>
  <si>
    <t>29 - 42</t>
  </si>
  <si>
    <t>27 - 24</t>
  </si>
  <si>
    <t>22 - 29</t>
  </si>
  <si>
    <t>29 - 31</t>
  </si>
  <si>
    <t>13 - 19</t>
  </si>
  <si>
    <t>34 - 31</t>
  </si>
  <si>
    <t>20 - 38</t>
  </si>
  <si>
    <t>26 - 30</t>
  </si>
  <si>
    <t>17 - 32</t>
  </si>
  <si>
    <t>17 - 31</t>
  </si>
  <si>
    <t>21 - 15</t>
  </si>
  <si>
    <t>24 - 48</t>
  </si>
  <si>
    <t>15 - 41</t>
  </si>
  <si>
    <t>44 - 38</t>
  </si>
  <si>
    <t>38 - 19</t>
  </si>
  <si>
    <t>33 - 27</t>
  </si>
  <si>
    <t>29 - 32</t>
  </si>
  <si>
    <t>30 - 47</t>
  </si>
  <si>
    <t>28 - 27</t>
  </si>
  <si>
    <t>53 - 32</t>
  </si>
  <si>
    <t>17 - 15</t>
  </si>
  <si>
    <t>22 - 17</t>
  </si>
  <si>
    <t>41 - 46</t>
  </si>
  <si>
    <t>32 - 33</t>
  </si>
  <si>
    <t>21 - 27</t>
  </si>
  <si>
    <t>47 - 14</t>
  </si>
  <si>
    <t>55 - 28</t>
  </si>
  <si>
    <t>26 - 32</t>
  </si>
  <si>
    <t>11 - 23</t>
  </si>
  <si>
    <t>15/11 MK Storm v MK Dynamos - Game cancelled by Mk Storm - 3 points awarded to MK Dynamos with goals to be averaged at season end.</t>
  </si>
  <si>
    <t>22/11 Panthers Onyx v Inde Tech - Game cancelled by Panthers - 3 points awarded to Inde Tech with goals to be averaged at season end.</t>
  </si>
  <si>
    <t xml:space="preserve">29/11 Netters Embers vs Chelbridge Rockets. In line with MKINL rules multi-team CLUB players are allowed to play up twice to the team DIRECTLY seeded above their own. (Blaze to Embers)  Failure to comply - </t>
  </si>
  <si>
    <t>Railway Rockets vs.Technip Flames</t>
  </si>
  <si>
    <t>16 - 23</t>
  </si>
  <si>
    <t>14 - 32</t>
  </si>
  <si>
    <t>38 - 36</t>
  </si>
  <si>
    <t>21 - 43</t>
  </si>
  <si>
    <t>28 - 26</t>
  </si>
  <si>
    <t>51 - 29</t>
  </si>
  <si>
    <t>27 - 15</t>
  </si>
  <si>
    <t>22 - 34</t>
  </si>
  <si>
    <t>35 - 28</t>
  </si>
  <si>
    <t>14 - 20</t>
  </si>
  <si>
    <t>14 - 31</t>
  </si>
  <si>
    <t>Not played</t>
  </si>
  <si>
    <t>42 - 33</t>
  </si>
  <si>
    <t>57 - 43</t>
  </si>
  <si>
    <t>35 - 14</t>
  </si>
  <si>
    <t>24 - 37</t>
  </si>
  <si>
    <t>33 -39</t>
  </si>
  <si>
    <t>41 - 34</t>
  </si>
  <si>
    <t>20 - 44</t>
  </si>
  <si>
    <t>27 - 29</t>
  </si>
  <si>
    <t>26 - 35</t>
  </si>
  <si>
    <t>18 - 30</t>
  </si>
  <si>
    <t>27 - 28</t>
  </si>
  <si>
    <t>31 - 44</t>
  </si>
  <si>
    <t>13 - 37</t>
  </si>
  <si>
    <t>16 - 17</t>
  </si>
  <si>
    <t>29/11 nu Zodiacs vs Netters Embers game was not played. Brackley Eagles deducted 3 points for failing to provide an umpire. Both teams awarded a draw with goals to be averaged at season end.</t>
  </si>
  <si>
    <t>27/09 MK Netters Ice decucted 3 points for failing to provide an umpire.  Another umpire at venue kindly stepped in so match went ahead.</t>
  </si>
  <si>
    <t>13/12 Chelbridge Rockets v Chelbridge Flyers - Game cancelled by Chelbridge Flyers - 3 points awarded to Chelbridge Rockets with goals to be averaged at season end.</t>
  </si>
  <si>
    <t>32 - 36</t>
  </si>
  <si>
    <t>49 - 33</t>
  </si>
  <si>
    <t>20 - 25</t>
  </si>
  <si>
    <t>36 - 18</t>
  </si>
  <si>
    <t>34 - 47</t>
  </si>
  <si>
    <t>26 -54</t>
  </si>
  <si>
    <t>32 - 37</t>
  </si>
  <si>
    <t>25 - 29</t>
  </si>
  <si>
    <t>18 - 5</t>
  </si>
  <si>
    <t>34 - 16</t>
  </si>
  <si>
    <t>28 - 25</t>
  </si>
  <si>
    <t>38 - 46</t>
  </si>
  <si>
    <t>30 - 20</t>
  </si>
  <si>
    <t>23 - 3</t>
  </si>
  <si>
    <t>31 - 37</t>
  </si>
  <si>
    <t>40 - 38</t>
  </si>
  <si>
    <t>23 - 43</t>
  </si>
  <si>
    <t>29 - 24</t>
  </si>
  <si>
    <t>21 - 33</t>
  </si>
  <si>
    <t>17 - 35</t>
  </si>
  <si>
    <t>21 - 22</t>
  </si>
  <si>
    <t>29 - 26</t>
  </si>
  <si>
    <t>22/11 nu Prophets receive a point deduction for playing an unaffiliated player.  In line with MKINL rules any points won by nu Prophets will be deducted and the win awarded to the opposing team where applicable (Rockers).</t>
  </si>
  <si>
    <t>31/11 LB2 have yet to hand in a copy of their Team master signature sheet in to the Committee. A deduction of 2 points to be applied inline with MKINL rule 1.3.</t>
  </si>
  <si>
    <t>29/11 Rockers deducted 3 points for failing to provide an umpire.  Another umpire at venue kindly stepped in so match went ahead.</t>
  </si>
  <si>
    <t>29/11 nu Prophets receive a point deduction for playing an unaffiliated player.  In line with MKINL rules any points won by nu Prophets will be deducted and the win awarded to the opposing team where applicable (Technip Flames).</t>
  </si>
  <si>
    <t>06/12 nu Zodiacs receive a point deduction for playing an unaffiliated player.  In line with MKINL rules any points won by nu Zodiacs will be deducted and the win awarded to the opposing team where applicable (MK Dynamos).</t>
  </si>
  <si>
    <t xml:space="preserve">06/12 Chelbridge Flyers vs Netters Embers. In line with MKINL rules multi-team CLUB players are allowed to play up twice to the team directly seeded above their own (CJ to CA).  If a player then transfers up to this team, she must play </t>
  </si>
  <si>
    <t xml:space="preserve">         there at least twice before playing up or transferring again (CA to CF). Failure to comply will result in any points won in match in which the offending player played being deducted, along with a 1 point penalty deduction per match.  </t>
  </si>
  <si>
    <t xml:space="preserve">         The non-offending team will be awarded the match.</t>
  </si>
  <si>
    <r>
      <t>05/01 LB2 have yet to hand in a copy of their Team master signature sheet. A deduction of 2 points to be applied inline with MKINL rule 1.3. (...</t>
    </r>
    <r>
      <rPr>
        <i/>
        <sz val="10"/>
        <rFont val="Arial"/>
        <family val="2"/>
      </rPr>
      <t>2 point deduction applied for every month... until Affiliations Off receives a copy)</t>
    </r>
  </si>
  <si>
    <t>03/01 Coopers v Panthers Onyx - Game cancelled by Panthers Onyx - 3 points awarded to Coopers with goals to be averaged at season end.</t>
  </si>
  <si>
    <t xml:space="preserve">01/11 Rockers v Dragons - Friendly played. No umpire. Both teams awarded a draw with goals to be averaged at season end. </t>
  </si>
  <si>
    <t>26 - 29</t>
  </si>
  <si>
    <t>30 - 48</t>
  </si>
  <si>
    <t>32 - 47</t>
  </si>
  <si>
    <t>38- 30</t>
  </si>
  <si>
    <t>37 - 27</t>
  </si>
  <si>
    <t>48 - 17</t>
  </si>
  <si>
    <t>24 - 13</t>
  </si>
  <si>
    <t>35 - 29</t>
  </si>
  <si>
    <t>31 - 32</t>
  </si>
  <si>
    <t>17 - 34</t>
  </si>
  <si>
    <t>03/01 Railway Rockets v nu Amazons - Longville Netbusters deducted 3 points for failing to provide an umpire. Match deemed a draw with goals to be averaged at season end.</t>
  </si>
  <si>
    <t>25 - 26</t>
  </si>
  <si>
    <t>22 - 35</t>
  </si>
  <si>
    <t>29 - 37</t>
  </si>
  <si>
    <t>43 - 18</t>
  </si>
  <si>
    <t>30 - 32</t>
  </si>
  <si>
    <t>23 - 34</t>
  </si>
  <si>
    <t>25 - 34</t>
  </si>
  <si>
    <t>34 - 28</t>
  </si>
  <si>
    <t>27 - 25</t>
  </si>
  <si>
    <t>22 - 25</t>
  </si>
  <si>
    <t>48 - 19</t>
  </si>
  <si>
    <t>35 - 16</t>
  </si>
  <si>
    <t>20 - 21</t>
  </si>
  <si>
    <t>Schuco vs. Futureprint</t>
  </si>
  <si>
    <t>43 - 44</t>
  </si>
  <si>
    <t>nu Aztecs vs. Chelbridge Flyers</t>
  </si>
  <si>
    <t>23 - 47</t>
  </si>
  <si>
    <t>Netters Ice vs. Chelbridge Arrows</t>
  </si>
  <si>
    <t>Fusion vs. Dragons</t>
  </si>
  <si>
    <t>22 - 15</t>
  </si>
  <si>
    <t>45 - 18</t>
  </si>
  <si>
    <t>LB1 vs. Olney 1</t>
  </si>
  <si>
    <t>Ashmore vs. nu Zodiacs</t>
  </si>
  <si>
    <t>37 - 29</t>
  </si>
  <si>
    <t>Olney 2 vs. Inde Tech</t>
  </si>
  <si>
    <t>VWG vs. Technip Flames</t>
  </si>
  <si>
    <t>21 - 23</t>
  </si>
  <si>
    <t>Cranfield Roses vs. Brackley Eagles</t>
  </si>
  <si>
    <t>31 - 41</t>
  </si>
  <si>
    <t>Breezers vs. Quantum Titans</t>
  </si>
  <si>
    <t>25 - 25</t>
  </si>
  <si>
    <t>17/01 Chelbridge Jets vs Dragons Friendly played (reduced quarters) Both teams awarded a draw with goals to be averaged at season end. Possible replay dependings on table standings.</t>
  </si>
  <si>
    <r>
      <t>26/01 LB2 have yet to hand in a copy of their Team master signature sheet. A deduction of 2 points to be applied inline with MKINL rule 1.3. (...</t>
    </r>
    <r>
      <rPr>
        <i/>
        <sz val="10"/>
        <rFont val="Arial"/>
        <family val="2"/>
      </rPr>
      <t>2 point deduction applied for every month... until Affiliations Off receives a copy)</t>
    </r>
  </si>
  <si>
    <t>31/01 Netters Embers v Panthers Jets- Game cancelled by Panthers Jets - 3 points awarded to Netters Embers with goals to be averaged at season end.</t>
  </si>
  <si>
    <t>29 - 34</t>
  </si>
  <si>
    <t>Chelbridge Rockets vs. MK Storm</t>
  </si>
  <si>
    <t>19 - 42</t>
  </si>
  <si>
    <t>Amber Jets vs. MK Ballers</t>
  </si>
  <si>
    <t>52 - 23</t>
  </si>
  <si>
    <t>13 - 27</t>
  </si>
  <si>
    <t>Leighton Buzzard 2 vs. MK Dynamos</t>
  </si>
  <si>
    <t>39 - 41</t>
  </si>
  <si>
    <t>20 - 30</t>
  </si>
  <si>
    <t>Brackley Falcons v s. Netters Diamonds</t>
  </si>
  <si>
    <t xml:space="preserve">22 - 32 </t>
  </si>
  <si>
    <t>Panthers Onyx vs. SAS</t>
  </si>
  <si>
    <t>35 - 17</t>
  </si>
  <si>
    <t>28 - 42</t>
  </si>
  <si>
    <t>MK Sapphires vs. Netters Flames</t>
  </si>
  <si>
    <t>28 - 39</t>
  </si>
  <si>
    <t>Updated 13 February 2017</t>
  </si>
  <si>
    <t>30 - 26</t>
  </si>
  <si>
    <t>42 - 27</t>
  </si>
  <si>
    <t>25 - 44</t>
  </si>
  <si>
    <t>21 - 21</t>
  </si>
  <si>
    <t>22 - 39</t>
  </si>
  <si>
    <t>Inde Tech vs. Coopers</t>
  </si>
  <si>
    <t>35 - 36</t>
  </si>
  <si>
    <t>Chelbridge Rockets vs. MK Dynamos</t>
  </si>
  <si>
    <t>41 - 27</t>
  </si>
  <si>
    <t>30 - 36</t>
  </si>
  <si>
    <t>Netters Blaze vs. Netters Ice</t>
  </si>
  <si>
    <t>8 - 33</t>
  </si>
  <si>
    <t>nu Zodiacs vs. Chelbridge Flyers</t>
  </si>
  <si>
    <t>26 - 42</t>
  </si>
  <si>
    <t>41 - 32</t>
  </si>
  <si>
    <t>35 - 35</t>
  </si>
  <si>
    <t>SAS vs. Quantum Titans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</si>
</sst>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name val="Arial"/>
      <family val="2"/>
    </font>
    <font>
      <sz val="11"/>
      <name val="Calibri"/>
      <family val="2"/>
      <scheme val="minor"/>
    </font>
    <font>
      <b/>
      <sz val="14"/>
      <name val="Arial"/>
      <family val="2"/>
    </font>
    <font>
      <sz val="14"/>
      <name val="Arial"/>
      <family val="2"/>
    </font>
    <font>
      <b/>
      <sz val="11"/>
      <name val="Calibri"/>
      <family val="2"/>
      <scheme val="minor"/>
    </font>
    <font>
      <b/>
      <sz val="11"/>
      <name val="Calibri"/>
      <family val="2"/>
    </font>
    <font>
      <sz val="11"/>
      <name val="Calibri"/>
      <family val="2"/>
    </font>
    <font>
      <sz val="11"/>
      <name val="Arial"/>
      <family val="2"/>
    </font>
    <font>
      <i/>
      <sz val="1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F2F2F2"/>
        <bgColor rgb="FF000000"/>
      </patternFill>
    </fill>
    <fill>
      <patternFill patternType="solid">
        <fgColor rgb="FFD8D8D8"/>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23">
    <xf numFmtId="0" fontId="0" fillId="0" borderId="0" xfId="0"/>
    <xf numFmtId="0" fontId="1" fillId="0" borderId="10" xfId="0" applyFont="1" applyFill="1" applyBorder="1" applyAlignment="1">
      <alignment horizontal="center"/>
    </xf>
    <xf numFmtId="0" fontId="20" fillId="0" borderId="10" xfId="0" applyFont="1" applyFill="1" applyBorder="1" applyAlignment="1">
      <alignment horizontal="center"/>
    </xf>
    <xf numFmtId="0" fontId="20" fillId="0" borderId="0" xfId="0" applyFont="1" applyFill="1" applyBorder="1"/>
    <xf numFmtId="0" fontId="1" fillId="0" borderId="0" xfId="0" applyFont="1" applyFill="1" applyBorder="1" applyAlignment="1">
      <alignment horizontal="center"/>
    </xf>
    <xf numFmtId="0" fontId="20" fillId="0" borderId="0" xfId="0" applyFont="1" applyFill="1" applyBorder="1" applyAlignment="1">
      <alignment horizontal="center"/>
    </xf>
    <xf numFmtId="0" fontId="1" fillId="0" borderId="0" xfId="0" applyFont="1" applyFill="1" applyBorder="1"/>
    <xf numFmtId="0" fontId="20" fillId="0" borderId="0" xfId="0" applyFont="1" applyFill="1" applyBorder="1" applyAlignment="1">
      <alignment horizontal="left" vertical="center"/>
    </xf>
    <xf numFmtId="0" fontId="19" fillId="0" borderId="10" xfId="0" applyFont="1" applyFill="1" applyBorder="1"/>
    <xf numFmtId="0" fontId="20" fillId="0" borderId="0" xfId="0" applyFont="1" applyFill="1" applyBorder="1"/>
    <xf numFmtId="0" fontId="1" fillId="0" borderId="0" xfId="0" applyFont="1" applyFill="1" applyBorder="1"/>
    <xf numFmtId="0" fontId="1" fillId="25" borderId="0" xfId="0" applyFont="1" applyFill="1" applyBorder="1"/>
    <xf numFmtId="0" fontId="1" fillId="25" borderId="0" xfId="0" applyFont="1" applyFill="1" applyBorder="1" applyAlignment="1">
      <alignment horizontal="center"/>
    </xf>
    <xf numFmtId="0" fontId="1" fillId="25" borderId="0" xfId="0" applyFont="1" applyFill="1" applyBorder="1" applyAlignment="1">
      <alignment vertical="center"/>
    </xf>
    <xf numFmtId="16" fontId="1" fillId="25" borderId="0" xfId="0" applyNumberFormat="1" applyFont="1" applyFill="1" applyBorder="1" applyAlignment="1">
      <alignment horizontal="left" vertical="center"/>
    </xf>
    <xf numFmtId="0" fontId="1" fillId="25" borderId="0" xfId="0" applyFont="1" applyFill="1" applyBorder="1" applyAlignment="1">
      <alignment horizontal="left" vertical="center"/>
    </xf>
    <xf numFmtId="0" fontId="20" fillId="0" borderId="10" xfId="0" applyFont="1" applyFill="1" applyBorder="1" applyAlignment="1">
      <alignment horizontal="center"/>
    </xf>
    <xf numFmtId="0" fontId="1" fillId="0" borderId="10" xfId="0" applyFont="1" applyFill="1" applyBorder="1" applyAlignment="1">
      <alignment horizontal="center"/>
    </xf>
    <xf numFmtId="0" fontId="20" fillId="0" borderId="10" xfId="0" applyFont="1" applyFill="1" applyBorder="1"/>
    <xf numFmtId="0" fontId="20" fillId="0" borderId="10" xfId="0" applyFont="1" applyFill="1" applyBorder="1" applyAlignment="1">
      <alignment wrapText="1"/>
    </xf>
    <xf numFmtId="0" fontId="20" fillId="25" borderId="0" xfId="0" applyFont="1" applyFill="1" applyBorder="1" applyAlignment="1">
      <alignment horizontal="left"/>
    </xf>
    <xf numFmtId="0" fontId="1" fillId="25" borderId="0" xfId="0" applyFont="1" applyFill="1"/>
    <xf numFmtId="0" fontId="1" fillId="25" borderId="0" xfId="0" applyFont="1" applyFill="1" applyAlignment="1">
      <alignment horizontal="left"/>
    </xf>
    <xf numFmtId="0" fontId="20" fillId="27" borderId="10" xfId="0" applyFont="1" applyFill="1" applyBorder="1"/>
    <xf numFmtId="0" fontId="1" fillId="27" borderId="10" xfId="0" applyFont="1" applyFill="1" applyBorder="1" applyAlignment="1">
      <alignment horizontal="center"/>
    </xf>
    <xf numFmtId="0" fontId="20" fillId="27" borderId="10" xfId="0" applyFont="1" applyFill="1" applyBorder="1" applyAlignment="1">
      <alignment horizontal="center"/>
    </xf>
    <xf numFmtId="0" fontId="22" fillId="0" borderId="0" xfId="0" applyFont="1" applyFill="1" applyBorder="1" applyAlignment="1">
      <alignment horizontal="left" vertical="center"/>
    </xf>
    <xf numFmtId="0" fontId="23" fillId="0" borderId="0" xfId="0" applyFont="1" applyFill="1" applyBorder="1"/>
    <xf numFmtId="0" fontId="22" fillId="0" borderId="0" xfId="0" applyFont="1" applyFill="1" applyBorder="1"/>
    <xf numFmtId="0" fontId="1" fillId="28" borderId="0" xfId="0" applyFont="1" applyFill="1" applyBorder="1"/>
    <xf numFmtId="0" fontId="1" fillId="28" borderId="0" xfId="0" applyFont="1" applyFill="1" applyBorder="1" applyAlignment="1">
      <alignment horizontal="center"/>
    </xf>
    <xf numFmtId="0" fontId="20" fillId="28" borderId="0" xfId="0" applyFont="1" applyFill="1" applyBorder="1" applyAlignment="1">
      <alignment horizontal="center"/>
    </xf>
    <xf numFmtId="0" fontId="1" fillId="28" borderId="0" xfId="0" applyFont="1" applyFill="1" applyBorder="1" applyAlignment="1">
      <alignment vertical="center"/>
    </xf>
    <xf numFmtId="0" fontId="1" fillId="28" borderId="0" xfId="0" applyFont="1" applyFill="1" applyBorder="1" applyAlignment="1">
      <alignment horizontal="left"/>
    </xf>
    <xf numFmtId="16" fontId="1" fillId="25" borderId="0" xfId="0" applyNumberFormat="1" applyFont="1" applyFill="1" applyBorder="1"/>
    <xf numFmtId="0" fontId="21" fillId="24" borderId="13" xfId="0" applyNumberFormat="1" applyFont="1" applyFill="1" applyBorder="1" applyAlignment="1" applyProtection="1">
      <alignment horizontal="center" vertical="center"/>
      <protection locked="0"/>
    </xf>
    <xf numFmtId="0" fontId="24" fillId="24" borderId="13" xfId="0" applyNumberFormat="1" applyFont="1" applyFill="1" applyBorder="1" applyAlignment="1" applyProtection="1">
      <alignment horizontal="center" vertical="center"/>
      <protection locked="0"/>
    </xf>
    <xf numFmtId="2" fontId="21" fillId="26" borderId="18" xfId="0" applyNumberFormat="1" applyFont="1" applyFill="1" applyBorder="1" applyAlignment="1" applyProtection="1">
      <alignment horizontal="center" vertical="center"/>
      <protection locked="0"/>
    </xf>
    <xf numFmtId="0" fontId="21" fillId="26" borderId="18" xfId="0" quotePrefix="1" applyFont="1" applyFill="1" applyBorder="1" applyAlignment="1" applyProtection="1">
      <alignment horizontal="center" vertical="center"/>
      <protection locked="0"/>
    </xf>
    <xf numFmtId="0" fontId="21" fillId="26" borderId="18" xfId="0" applyFont="1" applyFill="1" applyBorder="1" applyAlignment="1" applyProtection="1">
      <alignment horizontal="center" vertical="center"/>
      <protection locked="0"/>
    </xf>
    <xf numFmtId="49" fontId="21" fillId="26" borderId="18" xfId="0" applyNumberFormat="1" applyFont="1" applyFill="1" applyBorder="1" applyAlignment="1" applyProtection="1">
      <alignment horizontal="center" vertical="center"/>
      <protection locked="0"/>
    </xf>
    <xf numFmtId="2" fontId="21" fillId="26" borderId="21" xfId="0" applyNumberFormat="1" applyFont="1" applyFill="1" applyBorder="1" applyAlignment="1" applyProtection="1">
      <alignment horizontal="center" vertical="center"/>
      <protection locked="0"/>
    </xf>
    <xf numFmtId="2" fontId="21" fillId="26" borderId="22" xfId="0" applyNumberFormat="1" applyFont="1" applyFill="1" applyBorder="1" applyAlignment="1" applyProtection="1">
      <alignment horizontal="center" vertical="center"/>
      <protection locked="0"/>
    </xf>
    <xf numFmtId="2" fontId="21" fillId="26" borderId="20" xfId="0" applyNumberFormat="1" applyFont="1" applyFill="1" applyBorder="1" applyAlignment="1" applyProtection="1">
      <alignment horizontal="center" vertical="center"/>
      <protection locked="0"/>
    </xf>
    <xf numFmtId="0" fontId="21" fillId="26" borderId="16" xfId="0" applyFont="1" applyFill="1" applyBorder="1" applyAlignment="1" applyProtection="1">
      <alignment horizontal="center" vertical="center"/>
      <protection locked="0"/>
    </xf>
    <xf numFmtId="49" fontId="21" fillId="26" borderId="16" xfId="0" applyNumberFormat="1" applyFont="1" applyFill="1" applyBorder="1" applyAlignment="1" applyProtection="1">
      <alignment horizontal="center" vertical="center"/>
      <protection locked="0"/>
    </xf>
    <xf numFmtId="16" fontId="21" fillId="26" borderId="16" xfId="0" applyNumberFormat="1" applyFont="1" applyFill="1" applyBorder="1" applyAlignment="1" applyProtection="1">
      <alignment horizontal="center" vertical="center"/>
      <protection locked="0"/>
    </xf>
    <xf numFmtId="0" fontId="21" fillId="26" borderId="16" xfId="0" quotePrefix="1" applyFont="1" applyFill="1" applyBorder="1" applyAlignment="1" applyProtection="1">
      <alignment horizontal="center" vertical="center"/>
      <protection locked="0"/>
    </xf>
    <xf numFmtId="49" fontId="21" fillId="26" borderId="20" xfId="0" applyNumberFormat="1" applyFont="1" applyFill="1" applyBorder="1" applyAlignment="1" applyProtection="1">
      <alignment horizontal="center" vertical="center"/>
      <protection locked="0"/>
    </xf>
    <xf numFmtId="0" fontId="21" fillId="26" borderId="20"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26" borderId="13" xfId="0" applyNumberFormat="1" applyFont="1" applyFill="1" applyBorder="1" applyAlignment="1" applyProtection="1">
      <alignment horizontal="center" vertical="center"/>
      <protection locked="0"/>
    </xf>
    <xf numFmtId="0" fontId="24" fillId="26" borderId="16" xfId="0" applyNumberFormat="1" applyFont="1" applyFill="1" applyBorder="1" applyAlignment="1" applyProtection="1">
      <alignment horizontal="center" vertical="center"/>
      <protection locked="0"/>
    </xf>
    <xf numFmtId="16" fontId="24" fillId="26" borderId="16" xfId="0" applyNumberFormat="1" applyFont="1" applyFill="1" applyBorder="1" applyAlignment="1" applyProtection="1">
      <alignment horizontal="center" vertical="center"/>
      <protection locked="0"/>
    </xf>
    <xf numFmtId="0" fontId="24" fillId="26" borderId="18" xfId="0" applyNumberFormat="1" applyFont="1" applyFill="1" applyBorder="1" applyAlignment="1" applyProtection="1">
      <alignment horizontal="center" vertical="center"/>
      <protection locked="0"/>
    </xf>
    <xf numFmtId="0" fontId="24" fillId="26" borderId="20"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24" borderId="14" xfId="0" applyNumberFormat="1" applyFont="1" applyFill="1" applyBorder="1" applyAlignment="1" applyProtection="1">
      <alignment horizontal="center" vertical="center"/>
      <protection locked="0"/>
    </xf>
    <xf numFmtId="0" fontId="21" fillId="26" borderId="0" xfId="0" applyNumberFormat="1" applyFont="1" applyFill="1" applyBorder="1" applyAlignment="1" applyProtection="1">
      <alignment horizontal="center" vertical="center"/>
      <protection locked="0"/>
    </xf>
    <xf numFmtId="0" fontId="21" fillId="26" borderId="11" xfId="0" applyNumberFormat="1" applyFont="1" applyFill="1" applyBorder="1" applyAlignment="1" applyProtection="1">
      <alignment horizontal="center" vertical="center"/>
      <protection locked="0"/>
    </xf>
    <xf numFmtId="0" fontId="21" fillId="26" borderId="0" xfId="0" applyFont="1" applyFill="1" applyBorder="1" applyAlignment="1" applyProtection="1">
      <alignment horizontal="center" vertical="center"/>
      <protection locked="0"/>
    </xf>
    <xf numFmtId="0" fontId="21" fillId="26" borderId="12" xfId="0" applyFont="1" applyFill="1" applyBorder="1" applyAlignment="1" applyProtection="1">
      <alignment horizontal="center" vertical="center"/>
      <protection locked="0"/>
    </xf>
    <xf numFmtId="0" fontId="21" fillId="26" borderId="17" xfId="0" applyFont="1" applyFill="1" applyBorder="1" applyAlignment="1" applyProtection="1">
      <alignment horizontal="center" vertical="center"/>
      <protection locked="0"/>
    </xf>
    <xf numFmtId="0" fontId="21" fillId="26" borderId="11" xfId="0" applyFont="1" applyFill="1" applyBorder="1" applyAlignment="1" applyProtection="1">
      <alignment horizontal="center" vertical="center"/>
      <protection locked="0"/>
    </xf>
    <xf numFmtId="0" fontId="21" fillId="26" borderId="23" xfId="0"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24" fillId="24" borderId="15"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locked="0"/>
    </xf>
    <xf numFmtId="2" fontId="21" fillId="26" borderId="16" xfId="0" applyNumberFormat="1" applyFont="1" applyFill="1" applyBorder="1" applyAlignment="1" applyProtection="1">
      <alignment horizontal="center" vertical="center"/>
      <protection locked="0"/>
    </xf>
    <xf numFmtId="0" fontId="21" fillId="26" borderId="17" xfId="0" applyNumberFormat="1" applyFont="1" applyFill="1" applyBorder="1" applyAlignment="1" applyProtection="1">
      <alignment horizontal="center" vertical="center"/>
      <protection locked="0"/>
    </xf>
    <xf numFmtId="0" fontId="21" fillId="26" borderId="16"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21" fillId="26" borderId="19" xfId="0" applyNumberFormat="1" applyFont="1" applyFill="1" applyBorder="1" applyAlignment="1" applyProtection="1">
      <alignment horizontal="center" vertical="center"/>
      <protection locked="0"/>
    </xf>
    <xf numFmtId="0" fontId="24" fillId="26" borderId="19" xfId="0" applyNumberFormat="1" applyFont="1" applyFill="1" applyBorder="1" applyAlignment="1" applyProtection="1">
      <alignment horizontal="center" vertical="center"/>
      <protection locked="0"/>
    </xf>
    <xf numFmtId="2" fontId="21" fillId="26" borderId="18" xfId="0" quotePrefix="1" applyNumberFormat="1" applyFont="1" applyFill="1" applyBorder="1" applyAlignment="1" applyProtection="1">
      <alignment horizontal="center" vertical="center"/>
      <protection locked="0"/>
    </xf>
    <xf numFmtId="0" fontId="21" fillId="26" borderId="18"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vertical="center"/>
      <protection locked="0"/>
    </xf>
    <xf numFmtId="0" fontId="21" fillId="24" borderId="17" xfId="0" applyFont="1" applyFill="1" applyBorder="1" applyAlignment="1" applyProtection="1">
      <alignment horizontal="center" vertical="center"/>
      <protection locked="0"/>
    </xf>
    <xf numFmtId="2" fontId="21" fillId="26" borderId="16" xfId="0" quotePrefix="1" applyNumberFormat="1" applyFont="1" applyFill="1" applyBorder="1" applyAlignment="1" applyProtection="1">
      <alignment horizontal="center" vertical="center"/>
      <protection locked="0"/>
    </xf>
    <xf numFmtId="0" fontId="21" fillId="26" borderId="21" xfId="0" applyFont="1" applyFill="1" applyBorder="1" applyAlignment="1" applyProtection="1">
      <alignment horizontal="center" vertical="center"/>
      <protection locked="0"/>
    </xf>
    <xf numFmtId="0" fontId="21" fillId="24" borderId="19" xfId="0" applyNumberFormat="1" applyFont="1" applyFill="1" applyBorder="1" applyAlignment="1" applyProtection="1">
      <alignment horizontal="center" vertical="center"/>
      <protection locked="0"/>
    </xf>
    <xf numFmtId="0" fontId="21" fillId="26" borderId="19" xfId="0" applyFont="1" applyFill="1" applyBorder="1" applyAlignment="1" applyProtection="1">
      <alignment horizontal="center" vertical="center"/>
      <protection locked="0"/>
    </xf>
    <xf numFmtId="0" fontId="21" fillId="24" borderId="13" xfId="0" applyFont="1" applyFill="1" applyBorder="1" applyAlignment="1" applyProtection="1">
      <alignment horizontal="center" vertical="center"/>
      <protection locked="0"/>
    </xf>
    <xf numFmtId="0" fontId="21" fillId="24" borderId="21" xfId="0" applyFont="1" applyFill="1" applyBorder="1" applyAlignment="1" applyProtection="1">
      <alignment horizontal="center" vertical="center"/>
      <protection locked="0"/>
    </xf>
    <xf numFmtId="0" fontId="21" fillId="24" borderId="19" xfId="0"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left" vertical="center"/>
      <protection locked="0"/>
    </xf>
    <xf numFmtId="0" fontId="21" fillId="26" borderId="20" xfId="0" quotePrefix="1" applyFont="1" applyFill="1" applyBorder="1" applyAlignment="1" applyProtection="1">
      <alignment horizontal="center" vertical="center"/>
      <protection locked="0"/>
    </xf>
    <xf numFmtId="0" fontId="22" fillId="0" borderId="0" xfId="0" applyFont="1" applyFill="1" applyBorder="1" applyAlignment="1">
      <alignment horizontal="left" vertical="center" wrapText="1"/>
    </xf>
    <xf numFmtId="0" fontId="25" fillId="29" borderId="20" xfId="0" applyNumberFormat="1" applyFont="1" applyFill="1" applyBorder="1" applyAlignment="1" applyProtection="1">
      <alignment horizontal="center" vertical="center"/>
      <protection locked="0"/>
    </xf>
    <xf numFmtId="0" fontId="26" fillId="29" borderId="0" xfId="0" applyFont="1" applyFill="1" applyBorder="1" applyAlignment="1" applyProtection="1">
      <alignment horizontal="center" vertical="center"/>
      <protection locked="0"/>
    </xf>
    <xf numFmtId="2" fontId="26" fillId="29" borderId="20" xfId="0" applyNumberFormat="1" applyFont="1" applyFill="1" applyBorder="1" applyAlignment="1" applyProtection="1">
      <alignment horizontal="center" vertical="center"/>
      <protection locked="0"/>
    </xf>
    <xf numFmtId="0" fontId="26" fillId="29" borderId="20" xfId="0" applyFont="1" applyFill="1" applyBorder="1" applyAlignment="1" applyProtection="1">
      <alignment horizontal="center" vertical="center"/>
      <protection locked="0"/>
    </xf>
    <xf numFmtId="0" fontId="26" fillId="29" borderId="21" xfId="0" applyFont="1" applyFill="1" applyBorder="1" applyAlignment="1" applyProtection="1">
      <alignment horizontal="center" vertical="center"/>
      <protection locked="0"/>
    </xf>
    <xf numFmtId="0" fontId="26" fillId="30" borderId="21" xfId="0" applyFont="1" applyFill="1" applyBorder="1" applyAlignment="1" applyProtection="1">
      <alignment horizontal="center" vertical="center"/>
      <protection locked="0"/>
    </xf>
    <xf numFmtId="2" fontId="26" fillId="29" borderId="16" xfId="0" applyNumberFormat="1" applyFont="1" applyFill="1" applyBorder="1" applyAlignment="1" applyProtection="1">
      <alignment horizontal="center" vertical="center"/>
      <protection locked="0"/>
    </xf>
    <xf numFmtId="16" fontId="25" fillId="29" borderId="16" xfId="0" applyNumberFormat="1" applyFont="1" applyFill="1" applyBorder="1" applyAlignment="1" applyProtection="1">
      <alignment horizontal="center" vertical="center"/>
      <protection locked="0"/>
    </xf>
    <xf numFmtId="16" fontId="26" fillId="29" borderId="16" xfId="0" applyNumberFormat="1" applyFont="1" applyFill="1" applyBorder="1" applyAlignment="1" applyProtection="1">
      <alignment horizontal="center" vertical="center"/>
      <protection locked="0"/>
    </xf>
    <xf numFmtId="0" fontId="26" fillId="29" borderId="16" xfId="0" applyFont="1" applyFill="1" applyBorder="1" applyAlignment="1" applyProtection="1">
      <alignment horizontal="center" vertical="center"/>
      <protection locked="0"/>
    </xf>
    <xf numFmtId="0" fontId="26" fillId="29" borderId="17" xfId="0" applyFont="1" applyFill="1" applyBorder="1" applyAlignment="1" applyProtection="1">
      <alignment horizontal="center" vertical="center"/>
      <protection locked="0"/>
    </xf>
    <xf numFmtId="0" fontId="26" fillId="30" borderId="17" xfId="0" applyFont="1" applyFill="1" applyBorder="1" applyAlignment="1" applyProtection="1">
      <alignment horizontal="center" vertical="center"/>
      <protection locked="0"/>
    </xf>
    <xf numFmtId="0" fontId="25" fillId="29" borderId="18" xfId="0" applyNumberFormat="1" applyFont="1" applyFill="1" applyBorder="1" applyAlignment="1" applyProtection="1">
      <alignment horizontal="center" vertical="center"/>
      <protection locked="0"/>
    </xf>
    <xf numFmtId="0" fontId="26" fillId="29" borderId="11" xfId="0" applyFont="1" applyFill="1" applyBorder="1" applyAlignment="1" applyProtection="1">
      <alignment horizontal="center" vertical="center"/>
      <protection locked="0"/>
    </xf>
    <xf numFmtId="2" fontId="26" fillId="29" borderId="18" xfId="0" applyNumberFormat="1" applyFont="1" applyFill="1" applyBorder="1" applyAlignment="1" applyProtection="1">
      <alignment horizontal="center" vertical="center"/>
      <protection locked="0"/>
    </xf>
    <xf numFmtId="0" fontId="26" fillId="29" borderId="18" xfId="0" applyFont="1" applyFill="1" applyBorder="1" applyAlignment="1" applyProtection="1">
      <alignment horizontal="center" vertical="center"/>
      <protection locked="0"/>
    </xf>
    <xf numFmtId="0" fontId="26" fillId="30" borderId="19" xfId="0" applyFont="1" applyFill="1" applyBorder="1" applyAlignment="1" applyProtection="1">
      <alignment horizontal="center" vertical="center"/>
      <protection locked="0"/>
    </xf>
    <xf numFmtId="0" fontId="26" fillId="29" borderId="19" xfId="0" applyFont="1" applyFill="1" applyBorder="1" applyAlignment="1" applyProtection="1">
      <alignment horizontal="center" vertical="center"/>
      <protection locked="0"/>
    </xf>
    <xf numFmtId="0" fontId="25" fillId="29" borderId="16" xfId="0" applyNumberFormat="1" applyFont="1" applyFill="1" applyBorder="1" applyAlignment="1" applyProtection="1">
      <alignment horizontal="center" vertical="center"/>
      <protection locked="0"/>
    </xf>
    <xf numFmtId="49" fontId="26" fillId="29" borderId="16" xfId="0" applyNumberFormat="1" applyFont="1" applyFill="1" applyBorder="1" applyAlignment="1" applyProtection="1">
      <alignment horizontal="center" vertical="center"/>
      <protection locked="0"/>
    </xf>
    <xf numFmtId="49" fontId="26" fillId="29" borderId="18"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16" fontId="21" fillId="26" borderId="23" xfId="0" applyNumberFormat="1" applyFont="1" applyFill="1" applyBorder="1" applyAlignment="1" applyProtection="1">
      <alignment horizontal="center" vertical="center"/>
      <protection locked="0"/>
    </xf>
    <xf numFmtId="0" fontId="20" fillId="25" borderId="0" xfId="0" applyFont="1" applyFill="1" applyBorder="1" applyAlignment="1">
      <alignment horizontal="center"/>
    </xf>
    <xf numFmtId="0" fontId="21" fillId="26" borderId="21" xfId="0" applyNumberFormat="1" applyFont="1" applyFill="1" applyBorder="1" applyAlignment="1" applyProtection="1">
      <alignment horizontal="center" vertical="center"/>
      <protection locked="0"/>
    </xf>
    <xf numFmtId="0" fontId="24" fillId="26" borderId="16" xfId="0" applyFont="1" applyFill="1" applyBorder="1" applyAlignment="1" applyProtection="1">
      <alignment horizontal="center" vertical="center"/>
      <protection locked="0"/>
    </xf>
    <xf numFmtId="2" fontId="21" fillId="24" borderId="18" xfId="0" applyNumberFormat="1" applyFont="1" applyFill="1" applyBorder="1" applyAlignment="1" applyProtection="1">
      <alignment horizontal="center" vertical="center"/>
      <protection locked="0"/>
    </xf>
    <xf numFmtId="0" fontId="21" fillId="24" borderId="18" xfId="0" applyFont="1" applyFill="1" applyBorder="1" applyAlignment="1" applyProtection="1">
      <alignment horizontal="center" vertical="center"/>
      <protection locked="0"/>
    </xf>
    <xf numFmtId="0" fontId="20" fillId="0" borderId="24" xfId="0" applyFont="1" applyFill="1" applyBorder="1"/>
    <xf numFmtId="0" fontId="1" fillId="0" borderId="24" xfId="0" applyFont="1" applyFill="1" applyBorder="1" applyAlignment="1">
      <alignment horizontal="center"/>
    </xf>
    <xf numFmtId="0" fontId="20" fillId="0" borderId="24" xfId="0" applyFont="1" applyFill="1" applyBorder="1" applyAlignment="1">
      <alignment horizontal="center"/>
    </xf>
    <xf numFmtId="0" fontId="26" fillId="29" borderId="12" xfId="0" applyFont="1" applyFill="1" applyBorder="1" applyAlignment="1" applyProtection="1">
      <alignment horizontal="center" vertical="center"/>
      <protection locked="0"/>
    </xf>
    <xf numFmtId="0" fontId="21" fillId="26" borderId="0" xfId="0" applyFont="1" applyFill="1" applyBorder="1" applyAlignment="1" applyProtection="1">
      <alignment horizontal="center"/>
      <protection locked="0"/>
    </xf>
    <xf numFmtId="0" fontId="21" fillId="26" borderId="20" xfId="0" applyNumberFormat="1" applyFont="1" applyFill="1" applyBorder="1" applyAlignment="1" applyProtection="1">
      <alignment horizontal="center" vertical="center"/>
      <protection locked="0"/>
    </xf>
    <xf numFmtId="49" fontId="21" fillId="26" borderId="20" xfId="0" applyNumberFormat="1" applyFont="1" applyFill="1" applyBorder="1" applyAlignment="1">
      <alignment horizontal="center"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FFFF99"/>
      <color rgb="FF719EF7"/>
      <color rgb="FFC6E098"/>
      <color rgb="FFA1CB55"/>
      <color rgb="FF2D6FF3"/>
      <color rgb="FF472AF6"/>
      <color rgb="FF2AF669"/>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showGridLines="0" tabSelected="1" zoomScale="80" zoomScaleNormal="80" workbookViewId="0">
      <selection activeCell="A29" sqref="A29"/>
    </sheetView>
  </sheetViews>
  <sheetFormatPr defaultColWidth="8.85546875" defaultRowHeight="12.75" x14ac:dyDescent="0.2"/>
  <cols>
    <col min="1" max="1" width="23.28515625" style="7" customWidth="1"/>
    <col min="2" max="2" width="7.140625" style="6" bestFit="1" customWidth="1"/>
    <col min="3" max="3" width="7.28515625" style="6" customWidth="1"/>
    <col min="4" max="4" width="7.7109375" style="6" customWidth="1"/>
    <col min="5" max="5" width="9.7109375" style="6" customWidth="1"/>
    <col min="6" max="6" width="8.85546875" style="6"/>
    <col min="7" max="7" width="7.42578125" style="6" customWidth="1"/>
    <col min="8" max="8" width="7.140625" style="6" customWidth="1"/>
    <col min="9" max="9" width="7.28515625" style="6" customWidth="1"/>
    <col min="10" max="10" width="10" style="6" customWidth="1"/>
    <col min="11" max="11" width="7.7109375" style="3" customWidth="1"/>
    <col min="12" max="16384" width="8.85546875" style="6"/>
  </cols>
  <sheetData>
    <row r="1" spans="1:12" s="27" customFormat="1" ht="18" x14ac:dyDescent="0.25">
      <c r="A1" s="26" t="s">
        <v>614</v>
      </c>
      <c r="K1" s="28"/>
    </row>
    <row r="2" spans="1:12" s="27" customFormat="1" ht="8.4499999999999993" customHeight="1" x14ac:dyDescent="0.25">
      <c r="A2" s="26"/>
      <c r="K2" s="28"/>
    </row>
    <row r="3" spans="1:12" s="27" customFormat="1" ht="11.45" customHeight="1" x14ac:dyDescent="0.25">
      <c r="A3" s="87"/>
      <c r="B3" s="87"/>
      <c r="C3" s="87"/>
      <c r="D3" s="87"/>
      <c r="E3" s="87"/>
      <c r="F3" s="87"/>
      <c r="G3" s="87"/>
      <c r="H3" s="87"/>
      <c r="I3" s="87"/>
      <c r="J3" s="87"/>
      <c r="K3" s="87"/>
      <c r="L3" s="87"/>
    </row>
    <row r="4" spans="1:12" x14ac:dyDescent="0.2">
      <c r="A4" s="8" t="s">
        <v>0</v>
      </c>
      <c r="B4" s="2" t="s">
        <v>1</v>
      </c>
      <c r="C4" s="2" t="s">
        <v>2</v>
      </c>
      <c r="D4" s="2" t="s">
        <v>3</v>
      </c>
      <c r="E4" s="2" t="s">
        <v>4</v>
      </c>
      <c r="F4" s="2" t="s">
        <v>5</v>
      </c>
      <c r="G4" s="2" t="s">
        <v>6</v>
      </c>
      <c r="H4" s="2" t="s">
        <v>7</v>
      </c>
      <c r="I4" s="2" t="s">
        <v>8</v>
      </c>
      <c r="J4" s="2" t="s">
        <v>9</v>
      </c>
      <c r="K4" s="2" t="s">
        <v>10</v>
      </c>
      <c r="L4" s="2" t="s">
        <v>105</v>
      </c>
    </row>
    <row r="5" spans="1:12" x14ac:dyDescent="0.2">
      <c r="A5" s="23"/>
      <c r="B5" s="24"/>
      <c r="C5" s="24"/>
      <c r="D5" s="24"/>
      <c r="E5" s="24"/>
      <c r="F5" s="24"/>
      <c r="G5" s="24"/>
      <c r="H5" s="24"/>
      <c r="I5" s="24"/>
      <c r="J5" s="24"/>
      <c r="K5" s="25"/>
      <c r="L5" s="24"/>
    </row>
    <row r="6" spans="1:12" x14ac:dyDescent="0.2">
      <c r="A6" s="18" t="s">
        <v>14</v>
      </c>
      <c r="B6" s="17">
        <f>0+1+1+1+1+1+1+1+1+1+1+1+1</f>
        <v>12</v>
      </c>
      <c r="C6" s="17">
        <f>0+1+1+1+1+1+1+1+1+1</f>
        <v>9</v>
      </c>
      <c r="D6" s="17">
        <f>0</f>
        <v>0</v>
      </c>
      <c r="E6" s="17">
        <f>0+1</f>
        <v>1</v>
      </c>
      <c r="F6" s="17">
        <f>0+1+1</f>
        <v>2</v>
      </c>
      <c r="G6" s="17">
        <f>0+0+50+40+41+46+38+47+43+37+37+52+35</f>
        <v>466</v>
      </c>
      <c r="H6" s="17">
        <f>0+0+39+16+24+52+29+30+21+32+27+23+35</f>
        <v>328</v>
      </c>
      <c r="I6" s="17">
        <f t="shared" ref="I6:I16" si="0">G6-H6</f>
        <v>138</v>
      </c>
      <c r="J6" s="17"/>
      <c r="K6" s="16">
        <f>0+2+3+3+3+1+3+3+3+3+3+3+2</f>
        <v>32</v>
      </c>
      <c r="L6" s="1"/>
    </row>
    <row r="7" spans="1:12" x14ac:dyDescent="0.2">
      <c r="A7" s="18" t="s">
        <v>12</v>
      </c>
      <c r="B7" s="17">
        <f t="shared" ref="B7:B16" si="1">0+1+1+1+1+1+1+1+1+1+1+1</f>
        <v>11</v>
      </c>
      <c r="C7" s="17">
        <f>0+1+1+1+1+1+1+1+1+1+1</f>
        <v>10</v>
      </c>
      <c r="D7" s="17">
        <f>0</f>
        <v>0</v>
      </c>
      <c r="E7" s="17">
        <f>0+1</f>
        <v>1</v>
      </c>
      <c r="F7" s="17">
        <f>0</f>
        <v>0</v>
      </c>
      <c r="G7" s="17">
        <f>0+40+61+38+46+52+29+55+35+54+48+39</f>
        <v>497</v>
      </c>
      <c r="H7" s="17">
        <f>0+17+19+21+36+46+31+28+28+26+30+28</f>
        <v>310</v>
      </c>
      <c r="I7" s="17">
        <f t="shared" si="0"/>
        <v>187</v>
      </c>
      <c r="J7" s="17"/>
      <c r="K7" s="16">
        <f>0+3+3+3+3+3+1+3+3+3+3+3</f>
        <v>31</v>
      </c>
      <c r="L7" s="1"/>
    </row>
    <row r="8" spans="1:12" x14ac:dyDescent="0.2">
      <c r="A8" s="18" t="s">
        <v>11</v>
      </c>
      <c r="B8" s="17">
        <f t="shared" si="1"/>
        <v>11</v>
      </c>
      <c r="C8" s="17">
        <f>0+1+1+1+1+1+1+1+1+1</f>
        <v>9</v>
      </c>
      <c r="D8" s="17">
        <f>0</f>
        <v>0</v>
      </c>
      <c r="E8" s="17">
        <f>0+1</f>
        <v>1</v>
      </c>
      <c r="F8" s="17">
        <f>0+1</f>
        <v>1</v>
      </c>
      <c r="G8" s="17">
        <f>0+0+51+45+42+47+40+46+28+28+38+32</f>
        <v>397</v>
      </c>
      <c r="H8" s="17">
        <f>0+0+22+17+21+25+17+41+35+25+30+22</f>
        <v>255</v>
      </c>
      <c r="I8" s="17">
        <f t="shared" si="0"/>
        <v>142</v>
      </c>
      <c r="J8" s="17"/>
      <c r="K8" s="16">
        <f>0+2+3+3+3+3+3+3+1+3+3+3</f>
        <v>30</v>
      </c>
      <c r="L8" s="1"/>
    </row>
    <row r="9" spans="1:12" x14ac:dyDescent="0.2">
      <c r="A9" s="18" t="s">
        <v>17</v>
      </c>
      <c r="B9" s="17">
        <f t="shared" si="1"/>
        <v>11</v>
      </c>
      <c r="C9" s="17">
        <f>0+1+1+1+1+1+1</f>
        <v>6</v>
      </c>
      <c r="D9" s="17">
        <f>0</f>
        <v>0</v>
      </c>
      <c r="E9" s="17">
        <f>0+1+1+1+1+1</f>
        <v>5</v>
      </c>
      <c r="F9" s="17">
        <f>0</f>
        <v>0</v>
      </c>
      <c r="G9" s="17">
        <f>0+32+21+34+35+33+35+46+53+32+30+22</f>
        <v>373</v>
      </c>
      <c r="H9" s="17">
        <f>0+29+38+20+36+28+25+36+32+37+38+32</f>
        <v>351</v>
      </c>
      <c r="I9" s="17">
        <f t="shared" si="0"/>
        <v>22</v>
      </c>
      <c r="J9" s="17"/>
      <c r="K9" s="16">
        <f>0+3+1+3+1+3+3+3+3+1+1+1</f>
        <v>23</v>
      </c>
      <c r="L9" s="1"/>
    </row>
    <row r="10" spans="1:12" x14ac:dyDescent="0.2">
      <c r="A10" s="18" t="s">
        <v>70</v>
      </c>
      <c r="B10" s="17">
        <f t="shared" si="1"/>
        <v>11</v>
      </c>
      <c r="C10" s="17">
        <f>0+1+1+1+1+1+1</f>
        <v>6</v>
      </c>
      <c r="D10" s="17">
        <f>0+1+1+1</f>
        <v>3</v>
      </c>
      <c r="E10" s="17">
        <f>0+1+1</f>
        <v>2</v>
      </c>
      <c r="F10" s="17">
        <f>0</f>
        <v>0</v>
      </c>
      <c r="G10" s="17">
        <f>0+35+45+17+36+46+39+35+30+26+32+23</f>
        <v>364</v>
      </c>
      <c r="H10" s="17">
        <f>0+29+28+45+35+35+50+27+47+54+29+52</f>
        <v>431</v>
      </c>
      <c r="I10" s="17">
        <f t="shared" si="0"/>
        <v>-67</v>
      </c>
      <c r="J10" s="17"/>
      <c r="K10" s="16">
        <f>0+3+3+0+3+3+1+3+1+0+3+0</f>
        <v>20</v>
      </c>
      <c r="L10" s="1"/>
    </row>
    <row r="11" spans="1:12" x14ac:dyDescent="0.2">
      <c r="A11" s="18" t="s">
        <v>13</v>
      </c>
      <c r="B11" s="17">
        <f t="shared" si="1"/>
        <v>11</v>
      </c>
      <c r="C11" s="17">
        <f>0+1+1+1+1</f>
        <v>4</v>
      </c>
      <c r="D11" s="17">
        <f>0</f>
        <v>0</v>
      </c>
      <c r="E11" s="17">
        <f>0+1+1+1+1+1+1+1</f>
        <v>7</v>
      </c>
      <c r="F11" s="17">
        <f>0</f>
        <v>0</v>
      </c>
      <c r="G11" s="17">
        <f>0+29+39+46+31+37+50+41+33+30+44+36</f>
        <v>416</v>
      </c>
      <c r="H11" s="17">
        <f>0+32+50+30+38+38+39+46+42+48+43+30</f>
        <v>436</v>
      </c>
      <c r="I11" s="17">
        <f t="shared" si="0"/>
        <v>-20</v>
      </c>
      <c r="J11" s="17"/>
      <c r="K11" s="16">
        <f>0+1+1+3+1+1+3+1+1+1+3+3</f>
        <v>19</v>
      </c>
      <c r="L11" s="1"/>
    </row>
    <row r="12" spans="1:12" x14ac:dyDescent="0.2">
      <c r="A12" s="18" t="s">
        <v>15</v>
      </c>
      <c r="B12" s="17">
        <f t="shared" si="1"/>
        <v>11</v>
      </c>
      <c r="C12" s="17">
        <f>0+1+1+1+1</f>
        <v>4</v>
      </c>
      <c r="D12" s="17">
        <f>0+1</f>
        <v>1</v>
      </c>
      <c r="E12" s="17">
        <f>0+1+1+1+1+1</f>
        <v>5</v>
      </c>
      <c r="F12" s="17">
        <f>0+1</f>
        <v>1</v>
      </c>
      <c r="G12" s="17">
        <f>0+17+29+20+30+35+29+42+25+32+38+44</f>
        <v>341</v>
      </c>
      <c r="H12" s="17">
        <f>0+40+29+34+33+46+38+33+28+31+28+25</f>
        <v>365</v>
      </c>
      <c r="I12" s="17">
        <f t="shared" si="0"/>
        <v>-24</v>
      </c>
      <c r="J12" s="17"/>
      <c r="K12" s="16">
        <f>0+0+2+1+1+1+1+3+1+3+3+3</f>
        <v>19</v>
      </c>
      <c r="L12" s="1"/>
    </row>
    <row r="13" spans="1:12" x14ac:dyDescent="0.2">
      <c r="A13" s="18" t="s">
        <v>71</v>
      </c>
      <c r="B13" s="17">
        <f t="shared" si="1"/>
        <v>11</v>
      </c>
      <c r="C13" s="17">
        <f>0+1+1+1</f>
        <v>3</v>
      </c>
      <c r="D13" s="17">
        <f>0+1</f>
        <v>1</v>
      </c>
      <c r="E13" s="17">
        <f>0+1+1+1+1+1+1+1</f>
        <v>7</v>
      </c>
      <c r="F13" s="17">
        <f>0</f>
        <v>0</v>
      </c>
      <c r="G13" s="17">
        <f>0+36+19+30+33+25+26+27+32+36+27+25</f>
        <v>316</v>
      </c>
      <c r="H13" s="17">
        <f>0+22+61+46+30+47+35+35+53+32+37+44</f>
        <v>442</v>
      </c>
      <c r="I13" s="17">
        <f t="shared" si="0"/>
        <v>-126</v>
      </c>
      <c r="J13" s="17"/>
      <c r="K13" s="16">
        <f>0+3+0+1+3+1+1+1+1+3+1+1</f>
        <v>16</v>
      </c>
      <c r="L13" s="1"/>
    </row>
    <row r="14" spans="1:12" x14ac:dyDescent="0.2">
      <c r="A14" s="18" t="s">
        <v>41</v>
      </c>
      <c r="B14" s="17">
        <f t="shared" si="1"/>
        <v>11</v>
      </c>
      <c r="C14" s="17">
        <f>0+1+1</f>
        <v>2</v>
      </c>
      <c r="D14" s="17">
        <f>0+1</f>
        <v>1</v>
      </c>
      <c r="E14" s="17">
        <f>0+1+1+1+1+1+1+1</f>
        <v>7</v>
      </c>
      <c r="F14" s="17">
        <f>0+1</f>
        <v>1</v>
      </c>
      <c r="G14" s="17">
        <f>0+29+22+33+24+38+25+31+32+32+31+28</f>
        <v>325</v>
      </c>
      <c r="H14" s="17">
        <f>0+35+51+33+41+37+35+29+33+36+32+39</f>
        <v>401</v>
      </c>
      <c r="I14" s="17">
        <f t="shared" si="0"/>
        <v>-76</v>
      </c>
      <c r="J14" s="17"/>
      <c r="K14" s="16">
        <f>0+1+0+2+1+3+1+3+1+1+1+1</f>
        <v>15</v>
      </c>
      <c r="L14" s="1"/>
    </row>
    <row r="15" spans="1:12" x14ac:dyDescent="0.2">
      <c r="A15" s="18" t="s">
        <v>44</v>
      </c>
      <c r="B15" s="17">
        <f t="shared" si="1"/>
        <v>11</v>
      </c>
      <c r="C15" s="17">
        <f>0+1+1</f>
        <v>2</v>
      </c>
      <c r="D15" s="17">
        <f>0+1+1</f>
        <v>2</v>
      </c>
      <c r="E15" s="17">
        <f>0+1+1+1+1+1</f>
        <v>5</v>
      </c>
      <c r="F15" s="17">
        <f>0+1+1</f>
        <v>2</v>
      </c>
      <c r="G15" s="17">
        <f>0+29+16+36+21+35+36+33+33+29+43+35</f>
        <v>346</v>
      </c>
      <c r="H15" s="17">
        <f>0+29+40+46+42+26+46+32+49+32+44+35</f>
        <v>421</v>
      </c>
      <c r="I15" s="17">
        <f t="shared" si="0"/>
        <v>-75</v>
      </c>
      <c r="J15" s="17">
        <f>0+1+1</f>
        <v>2</v>
      </c>
      <c r="K15" s="16">
        <f>0+2+0+1+0-2+3+1+3+1+1+1+2</f>
        <v>13</v>
      </c>
      <c r="L15" s="1"/>
    </row>
    <row r="16" spans="1:12" x14ac:dyDescent="0.2">
      <c r="A16" s="18" t="s">
        <v>16</v>
      </c>
      <c r="B16" s="17">
        <f t="shared" si="1"/>
        <v>11</v>
      </c>
      <c r="C16" s="17">
        <f>0+1+1</f>
        <v>2</v>
      </c>
      <c r="D16" s="17">
        <f>0+1+1</f>
        <v>2</v>
      </c>
      <c r="E16" s="17">
        <f>0+1+1+1+1+1+1</f>
        <v>6</v>
      </c>
      <c r="F16" s="17">
        <f>0+1</f>
        <v>1</v>
      </c>
      <c r="G16" s="17">
        <f>0+22+28+33+38+28+17+28+21+49+28+30</f>
        <v>322</v>
      </c>
      <c r="H16" s="17">
        <f>0+36+45+33+31+33+40+55+43+33+38+36</f>
        <v>423</v>
      </c>
      <c r="I16" s="17">
        <f t="shared" si="0"/>
        <v>-101</v>
      </c>
      <c r="J16" s="17">
        <f>0+3+1+2</f>
        <v>6</v>
      </c>
      <c r="K16" s="16">
        <f>0+1-3+1-2+2+3+1-1+0+1+0+3+1+1</f>
        <v>8</v>
      </c>
      <c r="L16" s="17"/>
    </row>
    <row r="17" spans="1:12" s="10" customFormat="1" x14ac:dyDescent="0.2">
      <c r="A17" s="9"/>
      <c r="B17" s="4"/>
      <c r="C17" s="4"/>
      <c r="D17" s="4"/>
      <c r="E17" s="4"/>
      <c r="F17" s="4"/>
      <c r="G17" s="4"/>
      <c r="H17" s="4"/>
      <c r="I17" s="4"/>
      <c r="J17" s="4"/>
      <c r="K17" s="5"/>
      <c r="L17" s="4"/>
    </row>
    <row r="18" spans="1:12" x14ac:dyDescent="0.2">
      <c r="A18" s="3"/>
      <c r="B18" s="4"/>
      <c r="C18" s="4"/>
      <c r="D18" s="4"/>
      <c r="E18" s="4"/>
      <c r="F18" s="4"/>
      <c r="G18" s="4"/>
      <c r="H18" s="4"/>
      <c r="I18" s="4"/>
      <c r="J18" s="4"/>
      <c r="K18" s="5"/>
      <c r="L18" s="4"/>
    </row>
    <row r="19" spans="1:12" x14ac:dyDescent="0.2">
      <c r="A19" s="8" t="s">
        <v>18</v>
      </c>
      <c r="B19" s="2" t="s">
        <v>1</v>
      </c>
      <c r="C19" s="2" t="s">
        <v>2</v>
      </c>
      <c r="D19" s="2" t="s">
        <v>3</v>
      </c>
      <c r="E19" s="2" t="s">
        <v>4</v>
      </c>
      <c r="F19" s="2" t="s">
        <v>5</v>
      </c>
      <c r="G19" s="2" t="s">
        <v>6</v>
      </c>
      <c r="H19" s="2" t="s">
        <v>7</v>
      </c>
      <c r="I19" s="2" t="s">
        <v>8</v>
      </c>
      <c r="J19" s="2" t="s">
        <v>9</v>
      </c>
      <c r="K19" s="2" t="s">
        <v>10</v>
      </c>
      <c r="L19" s="2" t="s">
        <v>105</v>
      </c>
    </row>
    <row r="20" spans="1:12" x14ac:dyDescent="0.2">
      <c r="A20" s="23"/>
      <c r="B20" s="25"/>
      <c r="C20" s="25"/>
      <c r="D20" s="25"/>
      <c r="E20" s="25"/>
      <c r="F20" s="25"/>
      <c r="G20" s="25"/>
      <c r="H20" s="25"/>
      <c r="I20" s="25"/>
      <c r="J20" s="25"/>
      <c r="K20" s="25"/>
      <c r="L20" s="25"/>
    </row>
    <row r="21" spans="1:12" x14ac:dyDescent="0.2">
      <c r="A21" s="18" t="s">
        <v>19</v>
      </c>
      <c r="B21" s="17">
        <f>0+1+1+1+1+1+1+1+1+1+1+1+1+1+1</f>
        <v>14</v>
      </c>
      <c r="C21" s="17">
        <f>0+1+1+1+1+1+1+1+1+1+1+1+1+1</f>
        <v>13</v>
      </c>
      <c r="D21" s="17">
        <f>0</f>
        <v>0</v>
      </c>
      <c r="E21" s="17">
        <f>0+1</f>
        <v>1</v>
      </c>
      <c r="F21" s="17">
        <f>0</f>
        <v>0</v>
      </c>
      <c r="G21" s="17">
        <f>0+42+25+28+37+0+42+19+34+44+0+29+37+38+41</f>
        <v>416</v>
      </c>
      <c r="H21" s="17">
        <f>0+21+16+38+27+0+31+13+31+20+0+26+29+22+27</f>
        <v>301</v>
      </c>
      <c r="I21" s="17">
        <f t="shared" ref="I21:I33" si="2">G21-H21</f>
        <v>115</v>
      </c>
      <c r="J21" s="17"/>
      <c r="K21" s="16">
        <f>0+3+3+1+3+3+3+3+3+3+3+3+3+3+3</f>
        <v>40</v>
      </c>
      <c r="L21" s="1"/>
    </row>
    <row r="22" spans="1:12" x14ac:dyDescent="0.2">
      <c r="A22" s="18" t="s">
        <v>30</v>
      </c>
      <c r="B22" s="17">
        <f>0+1+1+1+1+1+1+1+1+1+1+1+1+1</f>
        <v>13</v>
      </c>
      <c r="C22" s="17">
        <f>0+1+1+1+1+1+1+1+1+1+1+1</f>
        <v>11</v>
      </c>
      <c r="D22" s="17">
        <f>0</f>
        <v>0</v>
      </c>
      <c r="E22" s="17">
        <f>0+1+1</f>
        <v>2</v>
      </c>
      <c r="F22" s="17">
        <f>0</f>
        <v>0</v>
      </c>
      <c r="G22" s="17">
        <f>0+43+46+38+34+42+45+31+27+31+25+35+36+30</f>
        <v>463</v>
      </c>
      <c r="H22" s="17">
        <f>0+16+24+28+17+29+19+17+28+44+20+17+18+26</f>
        <v>303</v>
      </c>
      <c r="I22" s="17">
        <f t="shared" si="2"/>
        <v>160</v>
      </c>
      <c r="J22" s="17"/>
      <c r="K22" s="16">
        <f>0+3+3+3+3+3+3+3+1+1+3+3+3+3</f>
        <v>35</v>
      </c>
      <c r="L22" s="1"/>
    </row>
    <row r="23" spans="1:12" x14ac:dyDescent="0.2">
      <c r="A23" s="18" t="s">
        <v>75</v>
      </c>
      <c r="B23" s="17">
        <f>0+1+1+1+1+1+1+1+1+1+1+1+1+1+1</f>
        <v>14</v>
      </c>
      <c r="C23" s="17">
        <f>0+1+1+1+1+1+1+1+1</f>
        <v>8</v>
      </c>
      <c r="D23" s="17">
        <f>0+1</f>
        <v>1</v>
      </c>
      <c r="E23" s="17">
        <f>0+1+1+1+1+1</f>
        <v>5</v>
      </c>
      <c r="F23" s="17">
        <f>0</f>
        <v>0</v>
      </c>
      <c r="G23" s="17">
        <f>0+32+36+35+31+29+42+31+38+38+31+35+22+0+42</f>
        <v>442</v>
      </c>
      <c r="H23" s="17">
        <f>0+21+17+19+29+42+29+34+36+46+37+29+25+0+27</f>
        <v>391</v>
      </c>
      <c r="I23" s="17">
        <f t="shared" si="2"/>
        <v>51</v>
      </c>
      <c r="J23" s="17"/>
      <c r="K23" s="16">
        <f>0+3+3+3+3+1+3+1+3+1+1+3+1+0+3</f>
        <v>29</v>
      </c>
      <c r="L23" s="1"/>
    </row>
    <row r="24" spans="1:12" s="10" customFormat="1" x14ac:dyDescent="0.2">
      <c r="A24" s="18" t="s">
        <v>72</v>
      </c>
      <c r="B24" s="17">
        <f>0+1+1+1+1+1+1+1+1+1+1+1+1+1+1</f>
        <v>14</v>
      </c>
      <c r="C24" s="17">
        <f>0+1+1+1+1+1+1+1+1</f>
        <v>8</v>
      </c>
      <c r="D24" s="17">
        <f>0+1</f>
        <v>1</v>
      </c>
      <c r="E24" s="17">
        <f>0+1+1+1+1+1</f>
        <v>5</v>
      </c>
      <c r="F24" s="17">
        <f>0</f>
        <v>0</v>
      </c>
      <c r="G24" s="17">
        <f>0+21+39+36+17+29+24+0+32+35+34+26+34+41+27</f>
        <v>395</v>
      </c>
      <c r="H24" s="17">
        <f>0+32+29+27+34+31+47+0+26+14+16+29+28+39+41</f>
        <v>393</v>
      </c>
      <c r="I24" s="17">
        <f t="shared" si="2"/>
        <v>2</v>
      </c>
      <c r="J24" s="17"/>
      <c r="K24" s="16">
        <f>0+1+3+3+0+1+1+3+3+3+3+1+3+3+1</f>
        <v>29</v>
      </c>
      <c r="L24" s="17"/>
    </row>
    <row r="25" spans="1:12" s="10" customFormat="1" x14ac:dyDescent="0.2">
      <c r="A25" s="18" t="s">
        <v>20</v>
      </c>
      <c r="B25" s="17">
        <f>0+1+1+1+1+1+1+1+1+1+1+1+1+1</f>
        <v>13</v>
      </c>
      <c r="C25" s="17">
        <f>0+1+1+1+1+1+1+1+1</f>
        <v>8</v>
      </c>
      <c r="D25" s="17">
        <f>0+1</f>
        <v>1</v>
      </c>
      <c r="E25" s="17">
        <f>0+1+1+1</f>
        <v>3</v>
      </c>
      <c r="F25" s="17">
        <f>0+1</f>
        <v>1</v>
      </c>
      <c r="G25" s="17">
        <f>0+40+36+37+43+46+47+38+28+26+0+29+47+42</f>
        <v>459</v>
      </c>
      <c r="H25" s="17">
        <f>0+18+24+37+28+25+24+44+27+35+0+35+23+26</f>
        <v>346</v>
      </c>
      <c r="I25" s="17">
        <f t="shared" si="2"/>
        <v>113</v>
      </c>
      <c r="J25" s="17">
        <f>0+1+1</f>
        <v>2</v>
      </c>
      <c r="K25" s="16">
        <f>0+3+3+2+3+3+3+1+3+1+0-1-1+1+3+3</f>
        <v>27</v>
      </c>
      <c r="L25" s="17"/>
    </row>
    <row r="26" spans="1:12" s="10" customFormat="1" x14ac:dyDescent="0.2">
      <c r="A26" s="18" t="s">
        <v>29</v>
      </c>
      <c r="B26" s="17">
        <f>0+1+1+1+1+1+1+1+1+1+1+1+1+1</f>
        <v>13</v>
      </c>
      <c r="C26" s="17">
        <f>0+1+1+1+1+1+1+1+1</f>
        <v>8</v>
      </c>
      <c r="D26" s="17">
        <f>0+1+1</f>
        <v>2</v>
      </c>
      <c r="E26" s="17">
        <f>0+1+1</f>
        <v>2</v>
      </c>
      <c r="F26" s="17">
        <f>0+1</f>
        <v>1</v>
      </c>
      <c r="G26" s="17">
        <f>0+32+17+37+47+35+13+27+0+35+20+32+34+0</f>
        <v>329</v>
      </c>
      <c r="H26" s="17">
        <f>0+21+36+26+27+33+19+33+0+26+25+18+23+0</f>
        <v>287</v>
      </c>
      <c r="I26" s="17">
        <f t="shared" si="2"/>
        <v>42</v>
      </c>
      <c r="J26" s="17">
        <f>0+1</f>
        <v>1</v>
      </c>
      <c r="K26" s="16">
        <f>0+3+0+3+3+3+1+1-2+2+3+1+3+3+3</f>
        <v>27</v>
      </c>
      <c r="L26" s="17"/>
    </row>
    <row r="27" spans="1:12" s="10" customFormat="1" x14ac:dyDescent="0.2">
      <c r="A27" s="18" t="s">
        <v>73</v>
      </c>
      <c r="B27" s="17">
        <f>0+1+1+1+1+1+1+1+1+1+1+1+1+1</f>
        <v>13</v>
      </c>
      <c r="C27" s="17">
        <f>0+1+1+1+1+1+1</f>
        <v>6</v>
      </c>
      <c r="D27" s="17">
        <f>0+1</f>
        <v>1</v>
      </c>
      <c r="E27" s="17">
        <f>0+1+1+1+1+1+1</f>
        <v>6</v>
      </c>
      <c r="F27" s="17">
        <f>0</f>
        <v>0</v>
      </c>
      <c r="G27" s="17">
        <f>0+34+37+26+45+21+31+27+26+44+47+25+23+22</f>
        <v>408</v>
      </c>
      <c r="H27" s="17">
        <f>0+24+32+37+23+38+42+41+32+31+34+22+47+39</f>
        <v>442</v>
      </c>
      <c r="I27" s="17">
        <f t="shared" si="2"/>
        <v>-34</v>
      </c>
      <c r="J27" s="17"/>
      <c r="K27" s="16">
        <f>0+3+3+1+3+1+1+1+1+3+3+3+0+1</f>
        <v>24</v>
      </c>
      <c r="L27" s="17"/>
    </row>
    <row r="28" spans="1:12" s="10" customFormat="1" x14ac:dyDescent="0.2">
      <c r="A28" s="18" t="s">
        <v>21</v>
      </c>
      <c r="B28" s="17">
        <f>0+1+1+1+1+1+1+1+1+1+1+1+1+1</f>
        <v>13</v>
      </c>
      <c r="C28" s="17">
        <f>0+1+1+1+1+1</f>
        <v>5</v>
      </c>
      <c r="D28" s="17">
        <f>0+0</f>
        <v>0</v>
      </c>
      <c r="E28" s="17">
        <f>0+1+1+1+1+1+1+1</f>
        <v>7</v>
      </c>
      <c r="F28" s="17">
        <f>0</f>
        <v>0</v>
      </c>
      <c r="G28" s="17">
        <f>0+16+29+32+34+27+42+44+27+33+46+29+37+26</f>
        <v>422</v>
      </c>
      <c r="H28" s="17">
        <f>0+43+39+37+33+47+37+38+41+39+38+37+29+30</f>
        <v>488</v>
      </c>
      <c r="I28" s="17">
        <f t="shared" si="2"/>
        <v>-66</v>
      </c>
      <c r="J28" s="17"/>
      <c r="K28" s="16">
        <f>0+0+1+1+3+1+3+3+1+1+3+1+3+1</f>
        <v>22</v>
      </c>
      <c r="L28" s="17"/>
    </row>
    <row r="29" spans="1:12" s="10" customFormat="1" x14ac:dyDescent="0.2">
      <c r="A29" s="18" t="s">
        <v>27</v>
      </c>
      <c r="B29" s="17">
        <f>0+1+1+1+1+1+1+1+1+1+1+1+1+1</f>
        <v>13</v>
      </c>
      <c r="C29" s="17">
        <f>0+1+1+1+1+1+1</f>
        <v>6</v>
      </c>
      <c r="D29" s="17">
        <f>0+1+1</f>
        <v>2</v>
      </c>
      <c r="E29" s="17">
        <f>0+1+1+1+1</f>
        <v>4</v>
      </c>
      <c r="F29" s="17">
        <f>0+1</f>
        <v>1</v>
      </c>
      <c r="G29" s="17">
        <f>0+18+16+27+40+38+37+41+33+36+29+17+41+39</f>
        <v>412</v>
      </c>
      <c r="H29" s="17">
        <f>0+40+25+36+26+38+42+27+27+38+25+35+31+22</f>
        <v>412</v>
      </c>
      <c r="I29" s="17">
        <f t="shared" si="2"/>
        <v>0</v>
      </c>
      <c r="J29" s="17">
        <f>0+1+3</f>
        <v>4</v>
      </c>
      <c r="K29" s="16">
        <f>0+0+1-1+1+3+2+1+3+3-3+1+3+0+3+3</f>
        <v>20</v>
      </c>
      <c r="L29" s="17"/>
    </row>
    <row r="30" spans="1:12" s="10" customFormat="1" x14ac:dyDescent="0.2">
      <c r="A30" s="18" t="s">
        <v>336</v>
      </c>
      <c r="B30" s="17">
        <f>0+1+1+1+1+1+1+1+1+1+1+1+1+1+1</f>
        <v>14</v>
      </c>
      <c r="C30" s="17">
        <f>0+1+1+1+1</f>
        <v>4</v>
      </c>
      <c r="D30" s="17">
        <f>0+1+1</f>
        <v>2</v>
      </c>
      <c r="E30" s="17">
        <f>0+1+1+1+1+1+1+1+1</f>
        <v>8</v>
      </c>
      <c r="F30" s="17">
        <f>0</f>
        <v>0</v>
      </c>
      <c r="G30" s="17">
        <f>0+0+24+33+27+38+48+17+22+16+37+23+31+0+27</f>
        <v>343</v>
      </c>
      <c r="H30" s="17">
        <f>0+0+36+34+37+21+24+31+34+34+31+34+41+0+42</f>
        <v>399</v>
      </c>
      <c r="I30" s="17">
        <f t="shared" si="2"/>
        <v>-56</v>
      </c>
      <c r="J30" s="17"/>
      <c r="K30" s="16">
        <f>0+0+1+1+1+3+3+1+1+0+3+1+1+3+1</f>
        <v>20</v>
      </c>
      <c r="L30" s="17"/>
    </row>
    <row r="31" spans="1:12" x14ac:dyDescent="0.2">
      <c r="A31" s="18" t="s">
        <v>335</v>
      </c>
      <c r="B31" s="17">
        <f>0+1+1+1+1+1+1+1+1+1+1+1+1+1</f>
        <v>13</v>
      </c>
      <c r="C31" s="17">
        <f>0+1+1+1</f>
        <v>3</v>
      </c>
      <c r="D31" s="17">
        <f>0+1+1+1</f>
        <v>3</v>
      </c>
      <c r="E31" s="17">
        <f>0+1+1+1+1+1+1+1</f>
        <v>7</v>
      </c>
      <c r="F31" s="17">
        <f>0</f>
        <v>0</v>
      </c>
      <c r="G31" s="17">
        <f>0+0+21+31+26+25+19+0+41+20+34+29+18+22</f>
        <v>286</v>
      </c>
      <c r="H31" s="17">
        <f>0+0+32+20+40+46+45+0+27+44+47+42+32+38</f>
        <v>413</v>
      </c>
      <c r="I31" s="17">
        <f t="shared" si="2"/>
        <v>-127</v>
      </c>
      <c r="J31" s="17"/>
      <c r="K31" s="16">
        <f>0+3+1+3+1+1+0+0+3+0+1+1+1+1</f>
        <v>16</v>
      </c>
      <c r="L31" s="1"/>
    </row>
    <row r="32" spans="1:12" x14ac:dyDescent="0.2">
      <c r="A32" s="18" t="s">
        <v>334</v>
      </c>
      <c r="B32" s="17">
        <f>0+1+1+1+1+1+1+1+1+1+1+1+1+1</f>
        <v>13</v>
      </c>
      <c r="C32" s="17">
        <f>0+1+1+1+1</f>
        <v>4</v>
      </c>
      <c r="D32" s="17">
        <f>0+1</f>
        <v>1</v>
      </c>
      <c r="E32" s="17">
        <f>0+1+1+1+1+1+1</f>
        <v>6</v>
      </c>
      <c r="F32" s="17">
        <f>0+1+1</f>
        <v>2</v>
      </c>
      <c r="G32" s="17">
        <f>0+21+24+37+23+38+33+29+30+34+39+42+28+39</f>
        <v>417</v>
      </c>
      <c r="H32" s="17">
        <f>0+42+46+37+45+38+35+42+26+22+33+29+34+41</f>
        <v>470</v>
      </c>
      <c r="I32" s="17">
        <f t="shared" si="2"/>
        <v>-53</v>
      </c>
      <c r="J32" s="17">
        <f>0+2+2+2+2+2</f>
        <v>10</v>
      </c>
      <c r="K32" s="16">
        <f>0+0+1+2+1+2+1-2+1+3-2+3-2+3-2+3+1-2+1</f>
        <v>12</v>
      </c>
      <c r="L32" s="1"/>
    </row>
    <row r="33" spans="1:12" x14ac:dyDescent="0.2">
      <c r="A33" s="18" t="s">
        <v>74</v>
      </c>
      <c r="B33" s="17">
        <f>0+1+1+1+1+1+1+1+1+1+1+1+1+1</f>
        <v>13</v>
      </c>
      <c r="C33" s="17">
        <f>0</f>
        <v>0</v>
      </c>
      <c r="D33" s="17">
        <f>0+1+1+1+1</f>
        <v>4</v>
      </c>
      <c r="E33" s="17">
        <f>0+1+1+1+1+1+1+1+1</f>
        <v>8</v>
      </c>
      <c r="F33" s="17">
        <f>0+1</f>
        <v>1</v>
      </c>
      <c r="G33" s="17">
        <f>0+24+20+19+28+0+24+26+0+14+25+18+29+26</f>
        <v>253</v>
      </c>
      <c r="H33" s="17">
        <f>0+34+31+35+43+0+48+30+0+35+29+36+37+42</f>
        <v>400</v>
      </c>
      <c r="I33" s="17">
        <f t="shared" si="2"/>
        <v>-147</v>
      </c>
      <c r="J33" s="17">
        <f>0+1+1</f>
        <v>2</v>
      </c>
      <c r="K33" s="16">
        <f>0+1+1+1+1+0+0-2+1+2+0+1+0+1+1</f>
        <v>8</v>
      </c>
      <c r="L33" s="17"/>
    </row>
    <row r="34" spans="1:12" s="10" customFormat="1" x14ac:dyDescent="0.2">
      <c r="A34" s="9"/>
      <c r="B34" s="4"/>
      <c r="C34" s="4"/>
      <c r="D34" s="4"/>
      <c r="E34" s="4"/>
      <c r="F34" s="4"/>
      <c r="G34" s="4"/>
      <c r="H34" s="4"/>
      <c r="I34" s="4"/>
      <c r="J34" s="4"/>
      <c r="K34" s="5"/>
      <c r="L34" s="4"/>
    </row>
    <row r="35" spans="1:12" s="10" customFormat="1" x14ac:dyDescent="0.2">
      <c r="A35" s="9"/>
      <c r="B35" s="4"/>
      <c r="C35" s="4"/>
      <c r="D35" s="4"/>
      <c r="E35" s="4"/>
      <c r="F35" s="4"/>
      <c r="G35" s="4"/>
      <c r="H35" s="4"/>
      <c r="I35" s="4"/>
      <c r="J35" s="4"/>
      <c r="K35" s="5"/>
      <c r="L35" s="4"/>
    </row>
    <row r="36" spans="1:12" x14ac:dyDescent="0.2">
      <c r="A36" s="8" t="s">
        <v>26</v>
      </c>
      <c r="B36" s="2" t="s">
        <v>1</v>
      </c>
      <c r="C36" s="2" t="s">
        <v>2</v>
      </c>
      <c r="D36" s="2" t="s">
        <v>3</v>
      </c>
      <c r="E36" s="2" t="s">
        <v>4</v>
      </c>
      <c r="F36" s="2" t="s">
        <v>5</v>
      </c>
      <c r="G36" s="2" t="s">
        <v>6</v>
      </c>
      <c r="H36" s="2" t="s">
        <v>7</v>
      </c>
      <c r="I36" s="2" t="s">
        <v>8</v>
      </c>
      <c r="J36" s="2" t="s">
        <v>9</v>
      </c>
      <c r="K36" s="2" t="s">
        <v>10</v>
      </c>
      <c r="L36" s="2" t="s">
        <v>105</v>
      </c>
    </row>
    <row r="37" spans="1:12" x14ac:dyDescent="0.2">
      <c r="A37" s="23"/>
      <c r="B37" s="24"/>
      <c r="C37" s="24"/>
      <c r="D37" s="24"/>
      <c r="E37" s="24"/>
      <c r="F37" s="24"/>
      <c r="G37" s="24"/>
      <c r="H37" s="24"/>
      <c r="I37" s="24"/>
      <c r="J37" s="24"/>
      <c r="K37" s="25"/>
      <c r="L37" s="24"/>
    </row>
    <row r="38" spans="1:12" x14ac:dyDescent="0.2">
      <c r="A38" s="18" t="s">
        <v>79</v>
      </c>
      <c r="B38" s="17">
        <f>0+1+1+1+1+1+1+1+1+1+1+1+1</f>
        <v>12</v>
      </c>
      <c r="C38" s="17">
        <f>0+1+1+1+1+1+1+1+1+1+1</f>
        <v>10</v>
      </c>
      <c r="D38" s="17">
        <f>0+1</f>
        <v>1</v>
      </c>
      <c r="E38" s="17">
        <f>0+1</f>
        <v>1</v>
      </c>
      <c r="F38" s="17">
        <f>0</f>
        <v>0</v>
      </c>
      <c r="G38" s="17">
        <f>0+29+45+40+36+27+32+37+43+34+30+14+47</f>
        <v>414</v>
      </c>
      <c r="H38" s="17">
        <f>0+30+38+34+27+24+17+24+23+17+32+35+24</f>
        <v>325</v>
      </c>
      <c r="I38" s="17">
        <f t="shared" ref="I38:I49" si="3">G38-H38</f>
        <v>89</v>
      </c>
      <c r="J38" s="17"/>
      <c r="K38" s="16">
        <f>0+1+3+3+3+3+3+3+3+3+3+0+3</f>
        <v>31</v>
      </c>
      <c r="L38" s="1"/>
    </row>
    <row r="39" spans="1:12" x14ac:dyDescent="0.2">
      <c r="A39" s="18" t="s">
        <v>33</v>
      </c>
      <c r="B39" s="17">
        <f>0+1+1+1+1+1+1+1+1+1+1+1+1</f>
        <v>12</v>
      </c>
      <c r="C39" s="17">
        <f>0+1+1+1+1+1+1+1+1+1</f>
        <v>9</v>
      </c>
      <c r="D39" s="17">
        <f>0</f>
        <v>0</v>
      </c>
      <c r="E39" s="17">
        <f>0+1+1+1</f>
        <v>3</v>
      </c>
      <c r="F39" s="17">
        <f>0</f>
        <v>0</v>
      </c>
      <c r="G39" s="17">
        <f>0+53+46+34+47+46+0+57+29+47+48+35+35</f>
        <v>477</v>
      </c>
      <c r="H39" s="17">
        <f>0+28+39+40+25+33+0+43+26+32+19+40+36</f>
        <v>361</v>
      </c>
      <c r="I39" s="17">
        <f t="shared" si="3"/>
        <v>116</v>
      </c>
      <c r="J39" s="17"/>
      <c r="K39" s="16">
        <f>0+3+3+1+3+3+3+3+3+3+3+1+1</f>
        <v>30</v>
      </c>
      <c r="L39" s="1"/>
    </row>
    <row r="40" spans="1:12" x14ac:dyDescent="0.2">
      <c r="A40" s="18" t="s">
        <v>31</v>
      </c>
      <c r="B40" s="17">
        <f>0+1+1+1+1+1+1+1+1+1+1+1+1+1</f>
        <v>13</v>
      </c>
      <c r="C40" s="17">
        <f>0+1+1+1+1+1+1+1+1</f>
        <v>8</v>
      </c>
      <c r="D40" s="17">
        <f>0+1</f>
        <v>1</v>
      </c>
      <c r="E40" s="17">
        <f>0+1+1+1+1</f>
        <v>4</v>
      </c>
      <c r="F40" s="17">
        <f>0</f>
        <v>0</v>
      </c>
      <c r="G40" s="17">
        <f>0+29+40+22+28+25+24+28+28+0+37+18+29+36</f>
        <v>344</v>
      </c>
      <c r="H40" s="17">
        <f>0+22+33+19+37+47+27+26+27+0+26+43+34+35</f>
        <v>376</v>
      </c>
      <c r="I40" s="17">
        <f t="shared" si="3"/>
        <v>-32</v>
      </c>
      <c r="J40" s="17"/>
      <c r="K40" s="16">
        <f>0+3+3+3+1+1+1+3+3+3+3+0+1+3</f>
        <v>28</v>
      </c>
      <c r="L40" s="1"/>
    </row>
    <row r="41" spans="1:12" x14ac:dyDescent="0.2">
      <c r="A41" s="18" t="s">
        <v>76</v>
      </c>
      <c r="B41" s="17">
        <f>0+1+1+1+1+1+1+1+1+1+1+1+1</f>
        <v>12</v>
      </c>
      <c r="C41" s="17">
        <f>0+1+1+1+1+1+1+1+1+1+1</f>
        <v>10</v>
      </c>
      <c r="D41" s="17">
        <f>0+1</f>
        <v>1</v>
      </c>
      <c r="E41" s="17">
        <f>0+1</f>
        <v>1</v>
      </c>
      <c r="F41" s="17">
        <f>0</f>
        <v>0</v>
      </c>
      <c r="G41" s="17">
        <f>0+45+53+0+37+33+41+47+41+48+43+35+33</f>
        <v>456</v>
      </c>
      <c r="H41" s="17">
        <f>0+16+14+0+32+46+15+14+34+17+18+14+8</f>
        <v>228</v>
      </c>
      <c r="I41" s="17">
        <f t="shared" si="3"/>
        <v>228</v>
      </c>
      <c r="J41" s="17">
        <f>0+3+1+2</f>
        <v>6</v>
      </c>
      <c r="K41" s="16">
        <f>0+3+3-3+0+3-1+1+3+3+3-2+3+3+3+3</f>
        <v>25</v>
      </c>
      <c r="L41" s="1"/>
    </row>
    <row r="42" spans="1:12" x14ac:dyDescent="0.2">
      <c r="A42" s="18" t="s">
        <v>24</v>
      </c>
      <c r="B42" s="17">
        <f>0+1+1+1+1+1+1+1+1+1+1+1+1</f>
        <v>12</v>
      </c>
      <c r="C42" s="17">
        <f>0+1+1+1+1+1+1+1+1+1</f>
        <v>9</v>
      </c>
      <c r="D42" s="17">
        <f>0</f>
        <v>0</v>
      </c>
      <c r="E42" s="17">
        <f>0+1+1</f>
        <v>2</v>
      </c>
      <c r="F42" s="17">
        <f>0+1</f>
        <v>1</v>
      </c>
      <c r="G42" s="17">
        <f>0+30+39+37+32+38+48+22+27+24+35+40+21</f>
        <v>393</v>
      </c>
      <c r="H42" s="17">
        <f>0+29+26+28+37+22+24+17+29+13+22+35+21</f>
        <v>303</v>
      </c>
      <c r="I42" s="17">
        <f t="shared" si="3"/>
        <v>90</v>
      </c>
      <c r="J42" s="17">
        <f>0+6</f>
        <v>6</v>
      </c>
      <c r="K42" s="16">
        <f>0+3-6+3+3+1+3+3+3+1+3+3+3+2</f>
        <v>25</v>
      </c>
      <c r="L42" s="1"/>
    </row>
    <row r="43" spans="1:12" x14ac:dyDescent="0.2">
      <c r="A43" s="18" t="s">
        <v>43</v>
      </c>
      <c r="B43" s="17">
        <f>0+1+1+1+1+1+1+1+1+1+1+1+1+1</f>
        <v>13</v>
      </c>
      <c r="C43" s="17">
        <f>0+1+1+1+1+1+1</f>
        <v>6</v>
      </c>
      <c r="D43" s="17">
        <f>0+1</f>
        <v>1</v>
      </c>
      <c r="E43" s="17">
        <f>0+1+1+1+1+1+1</f>
        <v>6</v>
      </c>
      <c r="F43" s="17">
        <f>0</f>
        <v>0</v>
      </c>
      <c r="G43" s="17">
        <f>0+33+0+33+36+22+29+28+43+29+17+26+34+41</f>
        <v>371</v>
      </c>
      <c r="H43" s="17">
        <f>0+40+0+35+24+38+32+33+57+24+34+25+29+32</f>
        <v>403</v>
      </c>
      <c r="I43" s="17">
        <f t="shared" si="3"/>
        <v>-32</v>
      </c>
      <c r="J43" s="17"/>
      <c r="K43" s="16">
        <f>0+1+3+1+3+1+1+1+1+3+0+3+3+3</f>
        <v>24</v>
      </c>
      <c r="L43" s="1"/>
    </row>
    <row r="44" spans="1:12" x14ac:dyDescent="0.2">
      <c r="A44" s="18" t="s">
        <v>28</v>
      </c>
      <c r="B44" s="17">
        <f>0+1+1+1+1+1+1+1+1+1+1+1+1</f>
        <v>12</v>
      </c>
      <c r="C44" s="17">
        <f>0+1+1+1+1+1</f>
        <v>5</v>
      </c>
      <c r="D44" s="17">
        <f>0+1</f>
        <v>1</v>
      </c>
      <c r="E44" s="17">
        <f>0+1+1+1+1+1</f>
        <v>5</v>
      </c>
      <c r="F44" s="17">
        <f>0+1</f>
        <v>1</v>
      </c>
      <c r="G44" s="17">
        <f>0+16+23+36+27+29+32+20+29+26+26+25+24</f>
        <v>313</v>
      </c>
      <c r="H44" s="17">
        <f>0+45+30+12+36+22+29+14+27+29+37+25+47</f>
        <v>353</v>
      </c>
      <c r="I44" s="17">
        <f t="shared" si="3"/>
        <v>-40</v>
      </c>
      <c r="J44" s="17"/>
      <c r="K44" s="16">
        <f>0+0+1+3+1+3+3+3+3+1+1+2+1</f>
        <v>22</v>
      </c>
      <c r="L44" s="1"/>
    </row>
    <row r="45" spans="1:12" x14ac:dyDescent="0.2">
      <c r="A45" s="18" t="s">
        <v>45</v>
      </c>
      <c r="B45" s="17">
        <f>0+1+1+1+1+1+1+1+1+1+1+1+1</f>
        <v>12</v>
      </c>
      <c r="C45" s="17">
        <f>0+1+1+1+1</f>
        <v>4</v>
      </c>
      <c r="D45" s="17">
        <f>0+1+1</f>
        <v>2</v>
      </c>
      <c r="E45" s="17">
        <f>0+1+1+1+1</f>
        <v>4</v>
      </c>
      <c r="F45" s="17">
        <f>0+1+1</f>
        <v>2</v>
      </c>
      <c r="G45" s="17">
        <f>0+45+38+23+38+35+24+14+27+24+32+25+35</f>
        <v>360</v>
      </c>
      <c r="H45" s="17">
        <f>0+37+45+18+38+18+48+47+28+29+47+25+19</f>
        <v>399</v>
      </c>
      <c r="I45" s="17">
        <f t="shared" si="3"/>
        <v>-39</v>
      </c>
      <c r="J45" s="17"/>
      <c r="K45" s="16">
        <f>0+3+1+3+2+3+0+0+1+1+1+2+3</f>
        <v>20</v>
      </c>
      <c r="L45" s="1"/>
    </row>
    <row r="46" spans="1:12" x14ac:dyDescent="0.2">
      <c r="A46" s="18" t="s">
        <v>23</v>
      </c>
      <c r="B46" s="17">
        <f>0+1+1+1+1+1+1+1+1+1+1+1+1+1</f>
        <v>13</v>
      </c>
      <c r="C46" s="17">
        <f>0+1+1+1+1+1</f>
        <v>5</v>
      </c>
      <c r="D46" s="17">
        <f>0+1+1+1+1</f>
        <v>4</v>
      </c>
      <c r="E46" s="17">
        <f>0+1+1+1</f>
        <v>3</v>
      </c>
      <c r="F46" s="17">
        <f>0+1</f>
        <v>1</v>
      </c>
      <c r="G46" s="17">
        <f>0+37+12+20+26+15+0+33+24+0+29+22+35+21</f>
        <v>274</v>
      </c>
      <c r="H46" s="17">
        <f>0+45+36+19+24+41+0+28+37+0+22+35+17+21</f>
        <v>325</v>
      </c>
      <c r="I46" s="17">
        <f t="shared" si="3"/>
        <v>-51</v>
      </c>
      <c r="J46" s="17"/>
      <c r="K46" s="16">
        <f>0+1+0+3+3+0+0+3+1+0+3+1+3+2</f>
        <v>20</v>
      </c>
      <c r="L46" s="1"/>
    </row>
    <row r="47" spans="1:12" x14ac:dyDescent="0.2">
      <c r="A47" s="18" t="s">
        <v>46</v>
      </c>
      <c r="B47" s="17">
        <f>0+1+1+1+1+1+1+1+1+1+1+1+1+1</f>
        <v>13</v>
      </c>
      <c r="C47" s="17">
        <f>0+1+1+1</f>
        <v>3</v>
      </c>
      <c r="D47" s="17">
        <f>0+1</f>
        <v>1</v>
      </c>
      <c r="E47" s="17">
        <f>0+1+1+1+1+1+1+1+1</f>
        <v>8</v>
      </c>
      <c r="F47" s="17">
        <f>0+1</f>
        <v>1</v>
      </c>
      <c r="G47" s="17">
        <f>0+39+26+35+38+22+32+26+34+20+22+32+17+19</f>
        <v>362</v>
      </c>
      <c r="H47" s="17">
        <f>0+46+39+33+38+29+37+28+41+19+29+30+35+35</f>
        <v>439</v>
      </c>
      <c r="I47" s="17">
        <f t="shared" si="3"/>
        <v>-77</v>
      </c>
      <c r="J47" s="17"/>
      <c r="K47" s="16">
        <f>0+1+1+3+2+1+1+1+1+3+1+3+0+1</f>
        <v>19</v>
      </c>
      <c r="L47" s="1"/>
    </row>
    <row r="48" spans="1:12" x14ac:dyDescent="0.2">
      <c r="A48" s="18" t="s">
        <v>22</v>
      </c>
      <c r="B48" s="17">
        <f>0+1+1+1+1+1+1+1+1+1+1+1+1+1</f>
        <v>13</v>
      </c>
      <c r="C48" s="17">
        <f>0+1+1</f>
        <v>2</v>
      </c>
      <c r="D48" s="17">
        <f>0+1+1</f>
        <v>2</v>
      </c>
      <c r="E48" s="17">
        <f>0+1+1+1+1+1+1+1+1+1</f>
        <v>9</v>
      </c>
      <c r="F48" s="17">
        <f>0</f>
        <v>0</v>
      </c>
      <c r="G48" s="17">
        <f>0+28+14+19+19+18+17+14+30+19+13+25+27+8</f>
        <v>251</v>
      </c>
      <c r="H48" s="17">
        <f>0+53+53+22+20+35+32+20+18+20+24+26+13+33</f>
        <v>369</v>
      </c>
      <c r="I48" s="17">
        <f t="shared" si="3"/>
        <v>-118</v>
      </c>
      <c r="J48" s="17"/>
      <c r="K48" s="16">
        <f>0+1+0+1+1+1+1+1+3+1+1+1+3+0</f>
        <v>15</v>
      </c>
      <c r="L48" s="1"/>
    </row>
    <row r="49" spans="1:12" x14ac:dyDescent="0.2">
      <c r="A49" s="18" t="s">
        <v>32</v>
      </c>
      <c r="B49" s="17">
        <f>0+1+1+1+1+1+1+1+1+1+1+1+1+1</f>
        <v>13</v>
      </c>
      <c r="C49" s="17">
        <f>0+1+1</f>
        <v>2</v>
      </c>
      <c r="D49" s="17">
        <f>0+1+1+1</f>
        <v>3</v>
      </c>
      <c r="E49" s="17">
        <f>0+1+1+1+1+1+1+1+1</f>
        <v>8</v>
      </c>
      <c r="F49" s="17">
        <f>0</f>
        <v>0</v>
      </c>
      <c r="G49" s="17">
        <f>0+22+30+18+24+24+37+17+18+23+17+19+13+32</f>
        <v>294</v>
      </c>
      <c r="H49" s="17">
        <f>0+29+23+23+36+26+32+22+30+43+48+48+27+41</f>
        <v>428</v>
      </c>
      <c r="I49" s="17">
        <f t="shared" si="3"/>
        <v>-134</v>
      </c>
      <c r="J49" s="17"/>
      <c r="K49" s="16">
        <f>0+1+3+1+1+1+3+1+1+1+0+0+0+1</f>
        <v>14</v>
      </c>
      <c r="L49" s="1"/>
    </row>
    <row r="50" spans="1:12" s="10" customFormat="1" x14ac:dyDescent="0.2">
      <c r="A50" s="116"/>
      <c r="B50" s="117"/>
      <c r="C50" s="117"/>
      <c r="D50" s="117"/>
      <c r="E50" s="117"/>
      <c r="F50" s="117"/>
      <c r="G50" s="117"/>
      <c r="H50" s="117"/>
      <c r="I50" s="117"/>
      <c r="J50" s="117"/>
      <c r="K50" s="118"/>
      <c r="L50" s="4"/>
    </row>
    <row r="51" spans="1:12" x14ac:dyDescent="0.2">
      <c r="A51" s="3"/>
      <c r="B51" s="4"/>
      <c r="C51" s="4"/>
      <c r="D51" s="4"/>
      <c r="E51" s="4"/>
      <c r="F51" s="4"/>
      <c r="G51" s="4"/>
      <c r="H51" s="4"/>
      <c r="I51" s="4"/>
      <c r="J51" s="4"/>
      <c r="K51" s="5"/>
      <c r="L51" s="4"/>
    </row>
    <row r="52" spans="1:12" x14ac:dyDescent="0.2">
      <c r="A52" s="8" t="s">
        <v>34</v>
      </c>
      <c r="B52" s="2" t="s">
        <v>1</v>
      </c>
      <c r="C52" s="2" t="s">
        <v>2</v>
      </c>
      <c r="D52" s="2" t="s">
        <v>3</v>
      </c>
      <c r="E52" s="2" t="s">
        <v>4</v>
      </c>
      <c r="F52" s="2" t="s">
        <v>5</v>
      </c>
      <c r="G52" s="2" t="s">
        <v>6</v>
      </c>
      <c r="H52" s="2" t="s">
        <v>7</v>
      </c>
      <c r="I52" s="2" t="s">
        <v>8</v>
      </c>
      <c r="J52" s="2" t="s">
        <v>9</v>
      </c>
      <c r="K52" s="2" t="s">
        <v>10</v>
      </c>
      <c r="L52" s="2" t="s">
        <v>105</v>
      </c>
    </row>
    <row r="53" spans="1:12" x14ac:dyDescent="0.2">
      <c r="A53" s="23"/>
      <c r="B53" s="24"/>
      <c r="C53" s="24"/>
      <c r="D53" s="24"/>
      <c r="E53" s="24"/>
      <c r="F53" s="24"/>
      <c r="G53" s="24"/>
      <c r="H53" s="24"/>
      <c r="I53" s="24"/>
      <c r="J53" s="24"/>
      <c r="K53" s="25"/>
      <c r="L53" s="24"/>
    </row>
    <row r="54" spans="1:12" x14ac:dyDescent="0.2">
      <c r="A54" s="19" t="s">
        <v>35</v>
      </c>
      <c r="B54" s="17">
        <f t="shared" ref="B54:B60" si="4">0+1+1+1+1+1+1+1+1+1+1+1+1+1</f>
        <v>13</v>
      </c>
      <c r="C54" s="17">
        <f>0+1+1+1+1+1+1+1+1+1+1+1</f>
        <v>11</v>
      </c>
      <c r="D54" s="17">
        <f>0</f>
        <v>0</v>
      </c>
      <c r="E54" s="17">
        <f>0+1</f>
        <v>1</v>
      </c>
      <c r="F54" s="17">
        <f>0+1</f>
        <v>1</v>
      </c>
      <c r="G54" s="17">
        <f>0+28+17+48+38+29+32+38+51+30+33+0+35+42</f>
        <v>421</v>
      </c>
      <c r="H54" s="17">
        <f>0+19+12+20+26+33+25+19+29+20+21+0+16+28</f>
        <v>268</v>
      </c>
      <c r="I54" s="17">
        <f t="shared" ref="I54:I65" si="5">G54-H54</f>
        <v>153</v>
      </c>
      <c r="J54" s="17"/>
      <c r="K54" s="16">
        <f>0+3+3+3+3+1+3+3+3+3+3+2+3+3</f>
        <v>36</v>
      </c>
      <c r="L54" s="1"/>
    </row>
    <row r="55" spans="1:12" x14ac:dyDescent="0.2">
      <c r="A55" s="19" t="s">
        <v>80</v>
      </c>
      <c r="B55" s="17">
        <f t="shared" si="4"/>
        <v>13</v>
      </c>
      <c r="C55" s="17">
        <f>0+1+1+1+1+1+1+1+1+1+1</f>
        <v>10</v>
      </c>
      <c r="D55" s="17">
        <f>0</f>
        <v>0</v>
      </c>
      <c r="E55" s="17">
        <f>0+1+1+1</f>
        <v>3</v>
      </c>
      <c r="F55" s="17">
        <f>0</f>
        <v>0</v>
      </c>
      <c r="G55" s="17">
        <f>0+42+29+34+15+12+33+28+21+27+16+30+20+20</f>
        <v>327</v>
      </c>
      <c r="H55" s="17">
        <f>0+13+9+17+7+7+29+8+15+15+17+20+21+30</f>
        <v>208</v>
      </c>
      <c r="I55" s="17">
        <f t="shared" si="5"/>
        <v>119</v>
      </c>
      <c r="J55" s="17"/>
      <c r="K55" s="16">
        <f>0+3+3+3+3+3+3+3+3+3+1+3+1+1</f>
        <v>33</v>
      </c>
      <c r="L55" s="17"/>
    </row>
    <row r="56" spans="1:12" x14ac:dyDescent="0.2">
      <c r="A56" s="19" t="s">
        <v>25</v>
      </c>
      <c r="B56" s="17">
        <f t="shared" si="4"/>
        <v>13</v>
      </c>
      <c r="C56" s="17">
        <f>0+1+1+1+1+1+1+1+1+1</f>
        <v>9</v>
      </c>
      <c r="D56" s="17">
        <f>0+1</f>
        <v>1</v>
      </c>
      <c r="E56" s="17">
        <f>0+1+1+1</f>
        <v>3</v>
      </c>
      <c r="F56" s="17">
        <f>0</f>
        <v>0</v>
      </c>
      <c r="G56" s="17">
        <f>0+19+34+30+12+26+22+32+17+17+38+25+22+30</f>
        <v>324</v>
      </c>
      <c r="H56" s="17">
        <f>0+28+12+13+37+8+13+20+15+16+40+34+15+20</f>
        <v>271</v>
      </c>
      <c r="I56" s="17">
        <f t="shared" si="5"/>
        <v>53</v>
      </c>
      <c r="J56" s="17"/>
      <c r="K56" s="16">
        <f>0+1+3+3+0+3+3+3+3+3+1+1+3+3</f>
        <v>30</v>
      </c>
      <c r="L56" s="17"/>
    </row>
    <row r="57" spans="1:12" x14ac:dyDescent="0.2">
      <c r="A57" s="19" t="s">
        <v>77</v>
      </c>
      <c r="B57" s="17">
        <f t="shared" si="4"/>
        <v>13</v>
      </c>
      <c r="C57" s="17">
        <f>0+1+1+1+1+1+1+1+1</f>
        <v>8</v>
      </c>
      <c r="D57" s="17">
        <f>0</f>
        <v>0</v>
      </c>
      <c r="E57" s="17">
        <f>0+1+1+1+1+1</f>
        <v>5</v>
      </c>
      <c r="F57" s="17">
        <f>0</f>
        <v>0</v>
      </c>
      <c r="G57" s="17">
        <f>0+28+27+18+17+31+25+15+23+23+36+40+25+22</f>
        <v>330</v>
      </c>
      <c r="H57" s="17">
        <f>0+32+20+32+13+24+32+21+11+16+18+38+28+17</f>
        <v>302</v>
      </c>
      <c r="I57" s="17">
        <f t="shared" si="5"/>
        <v>28</v>
      </c>
      <c r="J57" s="17"/>
      <c r="K57" s="16">
        <f>0+1+3+1+3+3+1+1+3+3+3+3+1+3</f>
        <v>29</v>
      </c>
      <c r="L57" s="1"/>
    </row>
    <row r="58" spans="1:12" x14ac:dyDescent="0.2">
      <c r="A58" s="18" t="s">
        <v>339</v>
      </c>
      <c r="B58" s="17">
        <f t="shared" si="4"/>
        <v>13</v>
      </c>
      <c r="C58" s="17">
        <f>0+1+1+1+1+1+1+1</f>
        <v>7</v>
      </c>
      <c r="D58" s="17">
        <f>0+1</f>
        <v>1</v>
      </c>
      <c r="E58" s="17">
        <f>0+1+1+1+1</f>
        <v>4</v>
      </c>
      <c r="F58" s="17">
        <f>0+1</f>
        <v>1</v>
      </c>
      <c r="G58" s="17">
        <f>0+32+17+19+37+20+33+31+21+29+18+0+45+27</f>
        <v>329</v>
      </c>
      <c r="H58" s="17">
        <f>0+28+34+23+12+26+15+17+27+51+5+0+18+20</f>
        <v>276</v>
      </c>
      <c r="I58" s="17">
        <f t="shared" si="5"/>
        <v>53</v>
      </c>
      <c r="J58" s="17"/>
      <c r="K58" s="16">
        <f>0+3+0+1+3+1+3+3+1+1+3+2+3+3</f>
        <v>27</v>
      </c>
      <c r="L58" s="1"/>
    </row>
    <row r="59" spans="1:12" ht="14.45" customHeight="1" x14ac:dyDescent="0.2">
      <c r="A59" s="19" t="s">
        <v>36</v>
      </c>
      <c r="B59" s="17">
        <f t="shared" si="4"/>
        <v>13</v>
      </c>
      <c r="C59" s="17">
        <f>0+1+1+1+1+1+1+1+1</f>
        <v>8</v>
      </c>
      <c r="D59" s="17">
        <f>0</f>
        <v>0</v>
      </c>
      <c r="E59" s="17">
        <f>0+1+1+1+1</f>
        <v>4</v>
      </c>
      <c r="F59" s="17">
        <f>0+1</f>
        <v>1</v>
      </c>
      <c r="G59" s="17">
        <f>0+20+23+32+7+21+13+0+27+31+20+23+23+17</f>
        <v>257</v>
      </c>
      <c r="H59" s="17">
        <f>0+12+15+18+12+16+22+0+21+14+30+3+21+22</f>
        <v>206</v>
      </c>
      <c r="I59" s="17">
        <f t="shared" si="5"/>
        <v>51</v>
      </c>
      <c r="J59" s="17">
        <f>0+3</f>
        <v>3</v>
      </c>
      <c r="K59" s="16">
        <f>0+3+3+3+1+3+1+2+3+3-3+1+3+3+1</f>
        <v>27</v>
      </c>
      <c r="L59" s="1"/>
    </row>
    <row r="60" spans="1:12" ht="13.9" customHeight="1" x14ac:dyDescent="0.2">
      <c r="A60" s="19" t="s">
        <v>49</v>
      </c>
      <c r="B60" s="17">
        <f t="shared" si="4"/>
        <v>13</v>
      </c>
      <c r="C60" s="17">
        <f>0+1+1+1+1</f>
        <v>4</v>
      </c>
      <c r="D60" s="17">
        <f>0+1</f>
        <v>1</v>
      </c>
      <c r="E60" s="17">
        <f>0+1+1+1+1+1+1+1</f>
        <v>7</v>
      </c>
      <c r="F60" s="17">
        <f>0+1</f>
        <v>1</v>
      </c>
      <c r="G60" s="17">
        <f>0+38+15+0+26+24+20+38+15+37+0+25+21+42</f>
        <v>301</v>
      </c>
      <c r="H60" s="17">
        <f>0+22+23+0+38+31+32+20+27+13+0+27+23+19</f>
        <v>275</v>
      </c>
      <c r="I60" s="17">
        <f t="shared" si="5"/>
        <v>26</v>
      </c>
      <c r="J60" s="17"/>
      <c r="K60" s="16">
        <f>0+3+1+0+1+1+1+3+1+3+2+1+1+3</f>
        <v>21</v>
      </c>
      <c r="L60" s="1"/>
    </row>
    <row r="61" spans="1:12" x14ac:dyDescent="0.2">
      <c r="A61" s="19" t="s">
        <v>78</v>
      </c>
      <c r="B61" s="17">
        <f>0+1+1+1+1+1+1+1+1+1+1+1+1</f>
        <v>12</v>
      </c>
      <c r="C61" s="17">
        <f>0+1+1+1+1+1</f>
        <v>5</v>
      </c>
      <c r="D61" s="17">
        <f>0+1</f>
        <v>1</v>
      </c>
      <c r="E61" s="17">
        <f>0+1+1+1+1+1+1</f>
        <v>6</v>
      </c>
      <c r="F61" s="17">
        <f>0</f>
        <v>0</v>
      </c>
      <c r="G61" s="17">
        <f>0+22+20+23+16+16+13+19+32+29+20+34+28</f>
        <v>272</v>
      </c>
      <c r="H61" s="17">
        <f>0+38+27+19+31+21+7+38+14+31+30+25+25</f>
        <v>306</v>
      </c>
      <c r="I61" s="17">
        <f t="shared" si="5"/>
        <v>-34</v>
      </c>
      <c r="J61" s="17"/>
      <c r="K61" s="16">
        <f>0+1+1+3+1+1+3+0+3+1+1+3+3</f>
        <v>21</v>
      </c>
      <c r="L61" s="1"/>
    </row>
    <row r="62" spans="1:12" ht="13.9" customHeight="1" x14ac:dyDescent="0.2">
      <c r="A62" s="18" t="s">
        <v>338</v>
      </c>
      <c r="B62" s="17">
        <f>0+1+1+1+1+1+1+1+1+1+1+1+1+1</f>
        <v>13</v>
      </c>
      <c r="C62" s="17">
        <f>0+1+1+1+1+1</f>
        <v>5</v>
      </c>
      <c r="D62" s="17">
        <f>0+1+1+1</f>
        <v>3</v>
      </c>
      <c r="E62" s="17">
        <f>0+1+1+1+1+1</f>
        <v>5</v>
      </c>
      <c r="F62" s="17">
        <f>0</f>
        <v>0</v>
      </c>
      <c r="G62" s="17">
        <f>0+12+22+20+31+26+19+8+15+16+21+27+18+19</f>
        <v>254</v>
      </c>
      <c r="H62" s="17">
        <f>0+20+16+48+16+20+21+28+17+23+22+25+45+42</f>
        <v>343</v>
      </c>
      <c r="I62" s="17">
        <f t="shared" si="5"/>
        <v>-89</v>
      </c>
      <c r="J62" s="17">
        <f>0+1+1+1+1</f>
        <v>4</v>
      </c>
      <c r="K62" s="16">
        <f>0+1+3+0+3+3-2+1+3-2+1+1+1+3+0+0</f>
        <v>16</v>
      </c>
      <c r="L62" s="1"/>
    </row>
    <row r="63" spans="1:12" ht="14.45" customHeight="1" x14ac:dyDescent="0.2">
      <c r="A63" s="19" t="s">
        <v>337</v>
      </c>
      <c r="B63" s="17">
        <f>0+1+1+1+1+1+1+1+1+1+1+1+1+1</f>
        <v>13</v>
      </c>
      <c r="C63" s="17">
        <f>0+1+1</f>
        <v>2</v>
      </c>
      <c r="D63" s="17">
        <f>0+1+1+1+1</f>
        <v>4</v>
      </c>
      <c r="E63" s="17">
        <f>0+1+1+1+1</f>
        <v>4</v>
      </c>
      <c r="F63" s="17">
        <f>0+1+1+1</f>
        <v>3</v>
      </c>
      <c r="G63" s="17">
        <f>0+13+9+13+0+13+17+15+0+14+22+0+15+28</f>
        <v>159</v>
      </c>
      <c r="H63" s="17">
        <f>0+13+29+30+0+17+22+33+0+32+21+0+22+42</f>
        <v>261</v>
      </c>
      <c r="I63" s="17">
        <f t="shared" si="5"/>
        <v>-102</v>
      </c>
      <c r="J63" s="17">
        <f>0+2</f>
        <v>2</v>
      </c>
      <c r="K63" s="16">
        <f>0+2+0+0+3+1+1+0-2+2+0+3+2+1+1</f>
        <v>14</v>
      </c>
      <c r="L63" s="1"/>
    </row>
    <row r="64" spans="1:12" x14ac:dyDescent="0.2">
      <c r="A64" s="19" t="s">
        <v>48</v>
      </c>
      <c r="B64" s="17">
        <f>0+1+1+1+1+1+1+1+1+1+1+1+1+1</f>
        <v>13</v>
      </c>
      <c r="C64" s="17">
        <f>0+1+1+1</f>
        <v>3</v>
      </c>
      <c r="D64" s="17">
        <f>0+1+1+1+1</f>
        <v>4</v>
      </c>
      <c r="E64" s="17">
        <f>0+1+1+1+1+1+1</f>
        <v>6</v>
      </c>
      <c r="F64" s="17">
        <f>0</f>
        <v>0</v>
      </c>
      <c r="G64" s="17">
        <f>0+13+12+16+13+22+17+20+14+31+18+21+21+20</f>
        <v>238</v>
      </c>
      <c r="H64" s="17">
        <f>0+42+34+22+15+17+31+38+31+29+36+33+20+27</f>
        <v>375</v>
      </c>
      <c r="I64" s="17">
        <f t="shared" si="5"/>
        <v>-137</v>
      </c>
      <c r="J64" s="17">
        <f>0+3</f>
        <v>3</v>
      </c>
      <c r="K64" s="16">
        <f>0+0+0+1+1+3+1+1+0+3+0+1-3+3+1</f>
        <v>12</v>
      </c>
      <c r="L64" s="1"/>
    </row>
    <row r="65" spans="1:20" x14ac:dyDescent="0.2">
      <c r="A65" s="19" t="s">
        <v>47</v>
      </c>
      <c r="B65" s="17">
        <f>0+1+1+1+1+1+1+1+1+1+1+1+1</f>
        <v>12</v>
      </c>
      <c r="C65" s="17">
        <f>0+1+1</f>
        <v>2</v>
      </c>
      <c r="D65" s="17">
        <f>0+1+1+1+1+1+1+1</f>
        <v>7</v>
      </c>
      <c r="E65" s="17">
        <f>0+1+1</f>
        <v>2</v>
      </c>
      <c r="F65" s="17">
        <f>0+1</f>
        <v>1</v>
      </c>
      <c r="G65" s="17">
        <f>0+13+12+7+15+8+21+7+11+13+5+3+16</f>
        <v>131</v>
      </c>
      <c r="H65" s="17">
        <f>0+13+17+15+13+26+19+13+23+37+18+23+35</f>
        <v>252</v>
      </c>
      <c r="I65" s="17">
        <f t="shared" si="5"/>
        <v>-121</v>
      </c>
      <c r="J65" s="17"/>
      <c r="K65" s="16">
        <f>0+2+1+0+3+0+3+1+0+0+0+0+0</f>
        <v>10</v>
      </c>
      <c r="L65" s="17"/>
    </row>
    <row r="66" spans="1:20" x14ac:dyDescent="0.2">
      <c r="A66" s="3"/>
      <c r="B66" s="4"/>
      <c r="C66" s="4"/>
      <c r="D66" s="4"/>
      <c r="E66" s="4"/>
      <c r="F66" s="4"/>
      <c r="G66" s="4"/>
      <c r="H66" s="4"/>
      <c r="I66" s="4"/>
      <c r="J66" s="4"/>
      <c r="K66" s="5"/>
      <c r="L66" s="4"/>
    </row>
    <row r="67" spans="1:20" s="11" customFormat="1" x14ac:dyDescent="0.2">
      <c r="A67" s="20" t="s">
        <v>42</v>
      </c>
      <c r="K67" s="21"/>
      <c r="L67" s="12"/>
      <c r="T67" s="12"/>
    </row>
    <row r="68" spans="1:20" s="11" customFormat="1" x14ac:dyDescent="0.2">
      <c r="A68" s="22" t="s">
        <v>340</v>
      </c>
      <c r="B68" s="21"/>
      <c r="C68" s="21"/>
      <c r="D68" s="21"/>
      <c r="E68" s="21"/>
      <c r="F68" s="21"/>
      <c r="G68" s="21"/>
      <c r="H68" s="21"/>
      <c r="I68" s="21"/>
      <c r="J68" s="21"/>
      <c r="L68" s="12"/>
    </row>
    <row r="69" spans="1:20" s="11" customFormat="1" x14ac:dyDescent="0.2">
      <c r="A69" s="22"/>
      <c r="B69" s="21"/>
      <c r="C69" s="21"/>
      <c r="D69" s="21"/>
      <c r="E69" s="21"/>
      <c r="F69" s="21"/>
      <c r="G69" s="21"/>
      <c r="H69" s="21"/>
      <c r="I69" s="21"/>
      <c r="J69" s="21"/>
      <c r="K69" s="21"/>
      <c r="L69" s="12"/>
    </row>
    <row r="70" spans="1:20" s="15" customFormat="1" x14ac:dyDescent="0.2">
      <c r="A70" s="14" t="s">
        <v>371</v>
      </c>
    </row>
    <row r="71" spans="1:20" s="11" customFormat="1" x14ac:dyDescent="0.2">
      <c r="A71" s="11" t="s">
        <v>341</v>
      </c>
      <c r="B71" s="12"/>
      <c r="C71" s="12"/>
      <c r="D71" s="12"/>
      <c r="E71" s="12"/>
      <c r="F71" s="12"/>
      <c r="G71" s="12"/>
      <c r="H71" s="12"/>
      <c r="I71" s="12"/>
      <c r="J71" s="12"/>
      <c r="K71" s="12"/>
      <c r="L71" s="12"/>
      <c r="M71" s="13"/>
      <c r="T71" s="12"/>
    </row>
    <row r="72" spans="1:20" s="29" customFormat="1" x14ac:dyDescent="0.2">
      <c r="A72" s="29" t="s">
        <v>372</v>
      </c>
      <c r="B72" s="30"/>
      <c r="C72" s="30"/>
      <c r="D72" s="30"/>
      <c r="E72" s="30"/>
      <c r="F72" s="30"/>
      <c r="G72" s="30"/>
      <c r="H72" s="30"/>
      <c r="I72" s="30"/>
      <c r="J72" s="30"/>
      <c r="K72" s="31"/>
      <c r="L72" s="32"/>
      <c r="S72" s="30"/>
    </row>
    <row r="73" spans="1:20" s="29" customFormat="1" x14ac:dyDescent="0.2">
      <c r="A73" s="29" t="s">
        <v>373</v>
      </c>
      <c r="B73" s="33"/>
      <c r="C73" s="33"/>
      <c r="D73" s="30"/>
      <c r="E73" s="30"/>
      <c r="F73" s="30"/>
      <c r="G73" s="30"/>
      <c r="H73" s="30"/>
      <c r="I73" s="30"/>
      <c r="J73" s="30"/>
      <c r="K73" s="31"/>
      <c r="L73" s="30"/>
      <c r="M73" s="32"/>
      <c r="T73" s="30"/>
    </row>
    <row r="74" spans="1:20" s="11" customFormat="1" x14ac:dyDescent="0.2">
      <c r="A74" s="11" t="s">
        <v>374</v>
      </c>
      <c r="B74" s="12"/>
      <c r="C74" s="12"/>
      <c r="D74" s="12"/>
      <c r="E74" s="12"/>
      <c r="F74" s="12"/>
      <c r="G74" s="12"/>
      <c r="H74" s="12"/>
      <c r="I74" s="12"/>
      <c r="J74" s="12"/>
      <c r="K74" s="12"/>
      <c r="L74" s="12"/>
      <c r="M74" s="13"/>
      <c r="T74" s="12"/>
    </row>
    <row r="75" spans="1:20" s="11" customFormat="1" x14ac:dyDescent="0.2">
      <c r="A75" s="11" t="s">
        <v>375</v>
      </c>
      <c r="B75" s="12"/>
      <c r="C75" s="12"/>
      <c r="D75" s="12"/>
      <c r="E75" s="12"/>
      <c r="F75" s="12"/>
      <c r="G75" s="12"/>
      <c r="H75" s="12"/>
      <c r="I75" s="12"/>
      <c r="J75" s="12"/>
      <c r="K75" s="12"/>
      <c r="L75" s="12"/>
      <c r="M75" s="13"/>
      <c r="T75" s="12"/>
    </row>
    <row r="76" spans="1:20" s="11" customFormat="1" x14ac:dyDescent="0.2">
      <c r="A76" s="34" t="s">
        <v>518</v>
      </c>
      <c r="B76" s="12"/>
      <c r="C76" s="12"/>
      <c r="D76" s="12"/>
      <c r="E76" s="12"/>
      <c r="F76" s="12"/>
      <c r="G76" s="12"/>
      <c r="H76" s="12"/>
      <c r="I76" s="12"/>
      <c r="J76" s="12"/>
      <c r="K76" s="12"/>
      <c r="L76" s="12"/>
      <c r="M76" s="13"/>
      <c r="T76" s="12"/>
    </row>
    <row r="77" spans="1:20" s="15" customFormat="1" x14ac:dyDescent="0.2">
      <c r="A77" s="14" t="s">
        <v>370</v>
      </c>
    </row>
    <row r="78" spans="1:20" s="29" customFormat="1" x14ac:dyDescent="0.2">
      <c r="A78" s="29" t="s">
        <v>433</v>
      </c>
      <c r="B78" s="33"/>
      <c r="C78" s="33"/>
      <c r="D78" s="30"/>
      <c r="E78" s="30"/>
      <c r="F78" s="30"/>
      <c r="G78" s="30"/>
      <c r="H78" s="30"/>
      <c r="I78" s="30"/>
      <c r="J78" s="30"/>
      <c r="K78" s="31"/>
      <c r="L78" s="30"/>
      <c r="M78" s="32"/>
      <c r="T78" s="30"/>
    </row>
    <row r="79" spans="1:20" s="11" customFormat="1" x14ac:dyDescent="0.2">
      <c r="A79" s="11" t="s">
        <v>432</v>
      </c>
      <c r="B79" s="12"/>
      <c r="C79" s="12"/>
      <c r="D79" s="12"/>
      <c r="E79" s="12"/>
      <c r="F79" s="12"/>
      <c r="G79" s="12"/>
      <c r="H79" s="12"/>
      <c r="I79" s="12"/>
      <c r="J79" s="12"/>
      <c r="K79" s="12"/>
      <c r="L79" s="12"/>
      <c r="M79" s="13"/>
      <c r="T79" s="12"/>
    </row>
    <row r="80" spans="1:20" s="15" customFormat="1" x14ac:dyDescent="0.2">
      <c r="A80" s="14" t="s">
        <v>434</v>
      </c>
    </row>
    <row r="81" spans="1:20" s="11" customFormat="1" x14ac:dyDescent="0.2">
      <c r="A81" s="11" t="s">
        <v>552</v>
      </c>
      <c r="B81" s="12"/>
      <c r="C81" s="12"/>
      <c r="D81" s="12"/>
      <c r="E81" s="12"/>
      <c r="F81" s="12"/>
      <c r="G81" s="12"/>
      <c r="H81" s="12"/>
      <c r="I81" s="12"/>
      <c r="J81" s="12"/>
      <c r="K81" s="12"/>
      <c r="L81" s="12"/>
      <c r="M81" s="13"/>
      <c r="T81" s="12"/>
    </row>
    <row r="82" spans="1:20" s="15" customFormat="1" x14ac:dyDescent="0.2">
      <c r="A82" s="14" t="s">
        <v>487</v>
      </c>
    </row>
    <row r="83" spans="1:20" s="15" customFormat="1" x14ac:dyDescent="0.2">
      <c r="A83" s="14" t="s">
        <v>488</v>
      </c>
    </row>
    <row r="84" spans="1:20" s="29" customFormat="1" x14ac:dyDescent="0.2">
      <c r="A84" s="29" t="s">
        <v>542</v>
      </c>
      <c r="B84" s="33"/>
      <c r="C84" s="33"/>
      <c r="D84" s="30"/>
      <c r="E84" s="30"/>
      <c r="F84" s="30"/>
      <c r="G84" s="30"/>
      <c r="H84" s="30"/>
      <c r="I84" s="30"/>
      <c r="J84" s="30"/>
      <c r="K84" s="30"/>
      <c r="L84" s="30"/>
      <c r="M84" s="32"/>
      <c r="T84" s="30"/>
    </row>
    <row r="85" spans="1:20" s="11" customFormat="1" x14ac:dyDescent="0.2">
      <c r="A85" s="11" t="s">
        <v>489</v>
      </c>
      <c r="B85" s="12"/>
      <c r="C85" s="12"/>
      <c r="D85" s="12"/>
      <c r="E85" s="12"/>
      <c r="F85" s="12"/>
      <c r="G85" s="12"/>
      <c r="H85" s="12"/>
      <c r="I85" s="12"/>
      <c r="J85" s="12"/>
      <c r="K85" s="12"/>
      <c r="L85" s="12"/>
      <c r="M85" s="13"/>
      <c r="T85" s="12"/>
    </row>
    <row r="86" spans="1:20" s="11" customFormat="1" x14ac:dyDescent="0.2">
      <c r="A86" s="11" t="s">
        <v>375</v>
      </c>
      <c r="B86" s="12"/>
      <c r="C86" s="12"/>
      <c r="D86" s="12"/>
      <c r="E86" s="12"/>
      <c r="F86" s="12"/>
      <c r="G86" s="12"/>
      <c r="H86" s="12"/>
      <c r="I86" s="12"/>
      <c r="J86" s="12"/>
      <c r="K86" s="12"/>
      <c r="L86" s="12"/>
      <c r="M86" s="13"/>
      <c r="T86" s="12"/>
    </row>
    <row r="87" spans="1:20" s="11" customFormat="1" x14ac:dyDescent="0.2">
      <c r="A87" s="11" t="s">
        <v>543</v>
      </c>
      <c r="B87" s="12"/>
      <c r="C87" s="12"/>
      <c r="D87" s="12"/>
      <c r="E87" s="12"/>
      <c r="F87" s="12"/>
      <c r="G87" s="12"/>
      <c r="H87" s="12"/>
      <c r="I87" s="12"/>
      <c r="J87" s="12"/>
      <c r="K87" s="12"/>
      <c r="L87" s="12"/>
      <c r="M87" s="13"/>
      <c r="T87" s="12"/>
    </row>
    <row r="88" spans="1:20" s="11" customFormat="1" x14ac:dyDescent="0.2">
      <c r="A88" s="11" t="s">
        <v>517</v>
      </c>
      <c r="B88" s="12"/>
      <c r="C88" s="12"/>
      <c r="D88" s="12"/>
      <c r="E88" s="12"/>
      <c r="F88" s="12"/>
      <c r="G88" s="12"/>
      <c r="H88" s="12"/>
      <c r="I88" s="12"/>
      <c r="J88" s="12"/>
      <c r="K88" s="12"/>
      <c r="L88" s="12"/>
      <c r="M88" s="13"/>
      <c r="T88" s="12"/>
    </row>
    <row r="89" spans="1:20" s="11" customFormat="1" x14ac:dyDescent="0.2">
      <c r="A89" s="34" t="s">
        <v>544</v>
      </c>
      <c r="B89" s="12"/>
      <c r="C89" s="12"/>
      <c r="D89" s="12"/>
      <c r="E89" s="12"/>
      <c r="F89" s="12"/>
      <c r="G89" s="12"/>
      <c r="H89" s="12"/>
      <c r="I89" s="12"/>
      <c r="J89" s="12"/>
      <c r="K89" s="12"/>
      <c r="L89" s="12"/>
      <c r="M89" s="13"/>
      <c r="T89" s="12"/>
    </row>
    <row r="90" spans="1:20" s="29" customFormat="1" x14ac:dyDescent="0.2">
      <c r="A90" s="29" t="s">
        <v>545</v>
      </c>
      <c r="B90" s="33"/>
      <c r="C90" s="33"/>
      <c r="D90" s="30"/>
      <c r="E90" s="30"/>
      <c r="F90" s="30"/>
      <c r="G90" s="30"/>
      <c r="H90" s="30"/>
      <c r="I90" s="30"/>
      <c r="J90" s="30"/>
      <c r="K90" s="30"/>
      <c r="L90" s="30"/>
      <c r="M90" s="32"/>
      <c r="T90" s="30"/>
    </row>
    <row r="91" spans="1:20" s="29" customFormat="1" x14ac:dyDescent="0.2">
      <c r="A91" s="29" t="s">
        <v>546</v>
      </c>
      <c r="B91" s="33"/>
      <c r="C91" s="33"/>
      <c r="D91" s="30"/>
      <c r="E91" s="30"/>
      <c r="F91" s="30"/>
      <c r="G91" s="30"/>
      <c r="H91" s="30"/>
      <c r="I91" s="30"/>
      <c r="J91" s="30"/>
      <c r="K91" s="30"/>
      <c r="L91" s="30"/>
      <c r="M91" s="32"/>
      <c r="T91" s="30"/>
    </row>
    <row r="92" spans="1:20" s="29" customFormat="1" x14ac:dyDescent="0.2">
      <c r="A92" s="11" t="s">
        <v>547</v>
      </c>
      <c r="B92" s="12"/>
      <c r="C92" s="12"/>
      <c r="D92" s="12"/>
      <c r="E92" s="12"/>
      <c r="F92" s="12"/>
      <c r="G92" s="12"/>
      <c r="H92" s="12"/>
      <c r="I92" s="12"/>
      <c r="J92" s="12"/>
      <c r="K92" s="12"/>
      <c r="L92" s="12"/>
      <c r="M92" s="13"/>
      <c r="N92" s="11"/>
      <c r="O92" s="11"/>
      <c r="P92" s="11"/>
      <c r="Q92" s="11"/>
      <c r="R92" s="11"/>
      <c r="S92" s="11"/>
      <c r="T92" s="12"/>
    </row>
    <row r="93" spans="1:20" s="29" customFormat="1" x14ac:dyDescent="0.2">
      <c r="A93" s="11" t="s">
        <v>548</v>
      </c>
      <c r="B93" s="12"/>
      <c r="C93" s="12"/>
      <c r="D93" s="12"/>
      <c r="E93" s="12"/>
      <c r="F93" s="12"/>
      <c r="G93" s="12"/>
      <c r="H93" s="12"/>
      <c r="I93" s="12"/>
      <c r="J93" s="12"/>
      <c r="K93" s="12"/>
      <c r="L93" s="12"/>
      <c r="M93" s="13"/>
      <c r="N93" s="11"/>
      <c r="O93" s="11"/>
      <c r="P93" s="11"/>
      <c r="Q93" s="11"/>
      <c r="R93" s="11"/>
      <c r="S93" s="11"/>
      <c r="T93" s="12"/>
    </row>
    <row r="94" spans="1:20" s="29" customFormat="1" x14ac:dyDescent="0.2">
      <c r="A94" s="11" t="s">
        <v>549</v>
      </c>
      <c r="B94" s="12"/>
      <c r="C94" s="12"/>
      <c r="D94" s="12"/>
      <c r="E94" s="12"/>
      <c r="F94" s="12"/>
      <c r="G94" s="12"/>
      <c r="H94" s="12"/>
      <c r="I94" s="12"/>
      <c r="J94" s="12"/>
      <c r="K94" s="111"/>
      <c r="L94" s="12"/>
      <c r="M94" s="13"/>
      <c r="N94" s="11"/>
      <c r="O94" s="11"/>
      <c r="P94" s="11"/>
      <c r="Q94" s="11"/>
      <c r="R94" s="11"/>
      <c r="S94" s="11"/>
      <c r="T94" s="12"/>
    </row>
    <row r="95" spans="1:20" s="15" customFormat="1" x14ac:dyDescent="0.2">
      <c r="A95" s="14" t="s">
        <v>519</v>
      </c>
    </row>
    <row r="96" spans="1:20" s="11" customFormat="1" x14ac:dyDescent="0.2">
      <c r="A96" s="11" t="s">
        <v>550</v>
      </c>
      <c r="B96" s="12"/>
      <c r="C96" s="12"/>
      <c r="D96" s="12"/>
      <c r="E96" s="12"/>
      <c r="F96" s="12"/>
      <c r="G96" s="12"/>
      <c r="H96" s="12"/>
      <c r="I96" s="12"/>
      <c r="J96" s="12"/>
      <c r="K96" s="12"/>
      <c r="L96" s="12"/>
      <c r="M96" s="13"/>
      <c r="T96" s="12"/>
    </row>
    <row r="97" spans="1:20" s="15" customFormat="1" x14ac:dyDescent="0.2">
      <c r="A97" s="14" t="s">
        <v>551</v>
      </c>
    </row>
    <row r="98" spans="1:20" s="15" customFormat="1" x14ac:dyDescent="0.2">
      <c r="A98" s="14" t="s">
        <v>563</v>
      </c>
    </row>
    <row r="99" spans="1:20" s="11" customFormat="1" x14ac:dyDescent="0.2">
      <c r="A99" s="11" t="s">
        <v>595</v>
      </c>
      <c r="B99" s="12"/>
      <c r="C99" s="12"/>
      <c r="D99" s="12"/>
      <c r="E99" s="12"/>
      <c r="F99" s="12"/>
      <c r="G99" s="12"/>
      <c r="H99" s="12"/>
      <c r="I99" s="12"/>
      <c r="J99" s="12"/>
      <c r="K99" s="12"/>
      <c r="L99" s="12"/>
      <c r="M99" s="13"/>
      <c r="T99" s="12"/>
    </row>
    <row r="100" spans="1:20" s="11" customFormat="1" x14ac:dyDescent="0.2">
      <c r="A100" s="11" t="s">
        <v>596</v>
      </c>
      <c r="B100" s="12"/>
      <c r="C100" s="12"/>
      <c r="D100" s="12"/>
      <c r="E100" s="12"/>
      <c r="F100" s="12"/>
      <c r="G100" s="12"/>
      <c r="H100" s="12"/>
      <c r="I100" s="12"/>
      <c r="J100" s="12"/>
      <c r="K100" s="12"/>
      <c r="L100" s="12"/>
      <c r="M100" s="13"/>
      <c r="T100" s="12"/>
    </row>
    <row r="101" spans="1:20" s="15" customFormat="1" x14ac:dyDescent="0.2">
      <c r="A101" s="14" t="s">
        <v>597</v>
      </c>
    </row>
  </sheetData>
  <sortState ref="A38:K49">
    <sortCondition descending="1" ref="K38:K49"/>
    <sortCondition descending="1" ref="I38:I49"/>
  </sortState>
  <pageMargins left="0.70866141732283472" right="0.70866141732283472" top="0.74803149606299213" bottom="0.74803149606299213" header="0.31496062992125984" footer="0.31496062992125984"/>
  <pageSetup paperSize="9" orientation="landscape" r:id="rId1"/>
  <ignoredErrors>
    <ignoredError sqref="C51 B53:F53 B55:F63 C64:D6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opLeftCell="A40" zoomScale="80" zoomScaleNormal="80" workbookViewId="0">
      <selection activeCell="F67" sqref="F67"/>
    </sheetView>
  </sheetViews>
  <sheetFormatPr defaultColWidth="9.140625" defaultRowHeight="15" x14ac:dyDescent="0.2"/>
  <cols>
    <col min="1" max="1" width="6.85546875" style="56" customWidth="1"/>
    <col min="2" max="2" width="36.5703125" style="65" bestFit="1" customWidth="1"/>
    <col min="3" max="3" width="11.28515625" style="50" customWidth="1"/>
    <col min="4" max="4" width="36.5703125" style="85" bestFit="1" customWidth="1"/>
    <col min="5" max="5" width="9.7109375" style="50" customWidth="1"/>
    <col min="6" max="6" width="34.85546875" style="85" bestFit="1" customWidth="1"/>
    <col min="7" max="7" width="10.7109375" style="50" bestFit="1" customWidth="1"/>
    <col min="8" max="8" width="32.140625" style="85" bestFit="1" customWidth="1"/>
    <col min="9" max="9" width="10.85546875" style="65" customWidth="1"/>
    <col min="10" max="10" width="34.28515625" style="85" bestFit="1" customWidth="1"/>
    <col min="11" max="11" width="10.28515625" style="85" customWidth="1"/>
    <col min="12" max="12" width="37.7109375" style="85" bestFit="1" customWidth="1"/>
    <col min="13" max="13" width="12.42578125" style="65" customWidth="1"/>
    <col min="14" max="16384" width="9.140625" style="71"/>
  </cols>
  <sheetData>
    <row r="1" spans="1:15" s="67" customFormat="1" ht="15.75" thickBot="1" x14ac:dyDescent="0.25">
      <c r="A1" s="36"/>
      <c r="B1" s="57" t="s">
        <v>37</v>
      </c>
      <c r="C1" s="35"/>
      <c r="D1" s="66" t="s">
        <v>40</v>
      </c>
      <c r="E1" s="35"/>
      <c r="F1" s="66" t="s">
        <v>129</v>
      </c>
      <c r="G1" s="35"/>
      <c r="H1" s="66" t="s">
        <v>130</v>
      </c>
      <c r="I1" s="43"/>
      <c r="J1" s="57" t="s">
        <v>39</v>
      </c>
      <c r="K1" s="36"/>
      <c r="L1" s="57" t="s">
        <v>38</v>
      </c>
      <c r="M1" s="51"/>
    </row>
    <row r="2" spans="1:15" x14ac:dyDescent="0.2">
      <c r="A2" s="52"/>
      <c r="B2" s="58" t="s">
        <v>131</v>
      </c>
      <c r="C2" s="68" t="s">
        <v>319</v>
      </c>
      <c r="D2" s="69" t="s">
        <v>132</v>
      </c>
      <c r="E2" s="68" t="s">
        <v>320</v>
      </c>
      <c r="F2" s="69" t="s">
        <v>133</v>
      </c>
      <c r="G2" s="68" t="s">
        <v>321</v>
      </c>
      <c r="H2" s="69" t="s">
        <v>134</v>
      </c>
      <c r="I2" s="43"/>
      <c r="J2" s="58" t="s">
        <v>127</v>
      </c>
      <c r="K2" s="49" t="s">
        <v>323</v>
      </c>
      <c r="L2" s="58" t="s">
        <v>66</v>
      </c>
      <c r="M2" s="121" t="s">
        <v>324</v>
      </c>
    </row>
    <row r="3" spans="1:15" x14ac:dyDescent="0.2">
      <c r="A3" s="53">
        <v>42619</v>
      </c>
      <c r="B3" s="58" t="s">
        <v>135</v>
      </c>
      <c r="C3" s="68" t="s">
        <v>325</v>
      </c>
      <c r="D3" s="69" t="s">
        <v>136</v>
      </c>
      <c r="E3" s="68" t="s">
        <v>326</v>
      </c>
      <c r="F3" s="69" t="s">
        <v>137</v>
      </c>
      <c r="G3" s="68" t="s">
        <v>327</v>
      </c>
      <c r="H3" s="69" t="s">
        <v>138</v>
      </c>
      <c r="I3" s="46"/>
      <c r="J3" s="58" t="s">
        <v>139</v>
      </c>
      <c r="K3" s="44" t="s">
        <v>328</v>
      </c>
      <c r="L3" s="58" t="s">
        <v>140</v>
      </c>
      <c r="M3" s="70" t="s">
        <v>329</v>
      </c>
    </row>
    <row r="4" spans="1:15" ht="15.75" thickBot="1" x14ac:dyDescent="0.25">
      <c r="A4" s="54"/>
      <c r="B4" s="59" t="s">
        <v>81</v>
      </c>
      <c r="C4" s="37" t="s">
        <v>330</v>
      </c>
      <c r="D4" s="72" t="s">
        <v>141</v>
      </c>
      <c r="E4" s="37" t="s">
        <v>331</v>
      </c>
      <c r="F4" s="73"/>
      <c r="G4" s="74"/>
      <c r="H4" s="73"/>
      <c r="I4" s="37"/>
      <c r="J4" s="59" t="s">
        <v>84</v>
      </c>
      <c r="K4" s="39" t="s">
        <v>332</v>
      </c>
      <c r="L4" s="59" t="s">
        <v>82</v>
      </c>
      <c r="M4" s="40" t="s">
        <v>333</v>
      </c>
      <c r="N4" s="76"/>
      <c r="O4" s="76"/>
    </row>
    <row r="5" spans="1:15" x14ac:dyDescent="0.2">
      <c r="A5" s="52"/>
      <c r="B5" s="60" t="s">
        <v>86</v>
      </c>
      <c r="C5" s="68" t="s">
        <v>342</v>
      </c>
      <c r="D5" s="62" t="s">
        <v>142</v>
      </c>
      <c r="E5" s="68" t="s">
        <v>343</v>
      </c>
      <c r="F5" s="62" t="s">
        <v>83</v>
      </c>
      <c r="G5" s="68" t="s">
        <v>354</v>
      </c>
      <c r="H5" s="62" t="s">
        <v>143</v>
      </c>
      <c r="I5" s="43"/>
      <c r="J5" s="60" t="s">
        <v>144</v>
      </c>
      <c r="K5" s="49" t="s">
        <v>344</v>
      </c>
      <c r="L5" s="60" t="s">
        <v>145</v>
      </c>
      <c r="M5" s="122" t="s">
        <v>345</v>
      </c>
    </row>
    <row r="6" spans="1:15" x14ac:dyDescent="0.2">
      <c r="A6" s="53">
        <v>42626</v>
      </c>
      <c r="B6" s="60" t="s">
        <v>146</v>
      </c>
      <c r="C6" s="68" t="s">
        <v>346</v>
      </c>
      <c r="D6" s="62" t="s">
        <v>57</v>
      </c>
      <c r="E6" s="68" t="s">
        <v>347</v>
      </c>
      <c r="F6" s="62" t="s">
        <v>147</v>
      </c>
      <c r="G6" s="68" t="s">
        <v>355</v>
      </c>
      <c r="H6" s="62" t="s">
        <v>148</v>
      </c>
      <c r="I6" s="46"/>
      <c r="J6" s="60" t="s">
        <v>149</v>
      </c>
      <c r="K6" s="44" t="s">
        <v>348</v>
      </c>
      <c r="L6" s="60" t="s">
        <v>150</v>
      </c>
      <c r="M6" s="68" t="s">
        <v>349</v>
      </c>
    </row>
    <row r="7" spans="1:15" ht="15.75" thickBot="1" x14ac:dyDescent="0.25">
      <c r="A7" s="52"/>
      <c r="B7" s="60" t="s">
        <v>110</v>
      </c>
      <c r="C7" s="68" t="s">
        <v>350</v>
      </c>
      <c r="D7" s="62" t="s">
        <v>65</v>
      </c>
      <c r="E7" s="68" t="s">
        <v>351</v>
      </c>
      <c r="F7" s="77"/>
      <c r="G7" s="78"/>
      <c r="H7" s="77"/>
      <c r="I7" s="37"/>
      <c r="J7" s="60" t="s">
        <v>151</v>
      </c>
      <c r="K7" s="39" t="s">
        <v>352</v>
      </c>
      <c r="L7" s="60" t="s">
        <v>58</v>
      </c>
      <c r="M7" s="40" t="s">
        <v>353</v>
      </c>
    </row>
    <row r="8" spans="1:15" x14ac:dyDescent="0.2">
      <c r="A8" s="55"/>
      <c r="B8" s="61" t="s">
        <v>152</v>
      </c>
      <c r="C8" s="48" t="s">
        <v>356</v>
      </c>
      <c r="D8" s="79" t="s">
        <v>85</v>
      </c>
      <c r="E8" s="43" t="s">
        <v>357</v>
      </c>
      <c r="F8" s="79" t="s">
        <v>153</v>
      </c>
      <c r="G8" s="43" t="s">
        <v>358</v>
      </c>
      <c r="H8" s="79" t="s">
        <v>154</v>
      </c>
      <c r="I8" s="43"/>
      <c r="J8" s="61" t="s">
        <v>62</v>
      </c>
      <c r="K8" s="49" t="s">
        <v>359</v>
      </c>
      <c r="L8" s="61" t="s">
        <v>155</v>
      </c>
      <c r="M8" s="45" t="s">
        <v>360</v>
      </c>
    </row>
    <row r="9" spans="1:15" x14ac:dyDescent="0.2">
      <c r="A9" s="53">
        <v>42633</v>
      </c>
      <c r="B9" s="62" t="s">
        <v>156</v>
      </c>
      <c r="C9" s="46" t="s">
        <v>361</v>
      </c>
      <c r="D9" s="69" t="s">
        <v>157</v>
      </c>
      <c r="E9" s="46" t="s">
        <v>362</v>
      </c>
      <c r="F9" s="62" t="s">
        <v>158</v>
      </c>
      <c r="G9" s="46" t="s">
        <v>363</v>
      </c>
      <c r="H9" s="62" t="s">
        <v>128</v>
      </c>
      <c r="I9" s="46"/>
      <c r="J9" s="60" t="s">
        <v>53</v>
      </c>
      <c r="K9" s="44" t="s">
        <v>364</v>
      </c>
      <c r="L9" s="60" t="s">
        <v>159</v>
      </c>
      <c r="M9" s="45" t="s">
        <v>365</v>
      </c>
    </row>
    <row r="10" spans="1:15" ht="15.75" thickBot="1" x14ac:dyDescent="0.25">
      <c r="A10" s="54"/>
      <c r="B10" s="63" t="s">
        <v>160</v>
      </c>
      <c r="C10" s="37" t="s">
        <v>366</v>
      </c>
      <c r="D10" s="44" t="s">
        <v>161</v>
      </c>
      <c r="E10" s="37" t="s">
        <v>367</v>
      </c>
      <c r="F10" s="80"/>
      <c r="G10" s="37"/>
      <c r="H10" s="80"/>
      <c r="I10" s="37"/>
      <c r="J10" s="63" t="s">
        <v>162</v>
      </c>
      <c r="K10" s="39" t="s">
        <v>368</v>
      </c>
      <c r="L10" s="63" t="s">
        <v>163</v>
      </c>
      <c r="M10" s="40" t="s">
        <v>369</v>
      </c>
    </row>
    <row r="11" spans="1:15" ht="15.75" thickBot="1" x14ac:dyDescent="0.25">
      <c r="A11" s="52"/>
      <c r="B11" s="60" t="s">
        <v>164</v>
      </c>
      <c r="C11" s="41" t="s">
        <v>376</v>
      </c>
      <c r="D11" s="82"/>
      <c r="E11" s="42"/>
      <c r="F11" s="62" t="s">
        <v>165</v>
      </c>
      <c r="G11" s="43" t="s">
        <v>354</v>
      </c>
      <c r="H11" s="62" t="s">
        <v>166</v>
      </c>
      <c r="I11" s="43"/>
      <c r="J11" s="60" t="s">
        <v>167</v>
      </c>
      <c r="K11" s="49" t="s">
        <v>377</v>
      </c>
      <c r="L11" s="60" t="s">
        <v>52</v>
      </c>
      <c r="M11" s="45" t="s">
        <v>378</v>
      </c>
    </row>
    <row r="12" spans="1:15" x14ac:dyDescent="0.2">
      <c r="A12" s="53">
        <v>42640</v>
      </c>
      <c r="B12" s="60" t="s">
        <v>119</v>
      </c>
      <c r="C12" s="46" t="s">
        <v>379</v>
      </c>
      <c r="D12" s="62" t="s">
        <v>100</v>
      </c>
      <c r="E12" s="45" t="s">
        <v>380</v>
      </c>
      <c r="F12" s="62" t="s">
        <v>168</v>
      </c>
      <c r="G12" s="46" t="s">
        <v>381</v>
      </c>
      <c r="H12" s="62" t="s">
        <v>115</v>
      </c>
      <c r="I12" s="46"/>
      <c r="J12" s="60" t="s">
        <v>169</v>
      </c>
      <c r="K12" s="44" t="s">
        <v>382</v>
      </c>
      <c r="L12" s="60" t="s">
        <v>50</v>
      </c>
      <c r="M12" s="45" t="s">
        <v>383</v>
      </c>
    </row>
    <row r="13" spans="1:15" ht="15.75" thickBot="1" x14ac:dyDescent="0.25">
      <c r="A13" s="52"/>
      <c r="B13" s="64" t="s">
        <v>170</v>
      </c>
      <c r="C13" s="37" t="s">
        <v>384</v>
      </c>
      <c r="D13" s="62" t="s">
        <v>54</v>
      </c>
      <c r="E13" s="37" t="s">
        <v>385</v>
      </c>
      <c r="F13" s="77"/>
      <c r="G13" s="37"/>
      <c r="H13" s="77"/>
      <c r="I13" s="37"/>
      <c r="J13" s="60" t="s">
        <v>171</v>
      </c>
      <c r="K13" s="37" t="s">
        <v>321</v>
      </c>
      <c r="L13" s="60" t="s">
        <v>172</v>
      </c>
      <c r="M13" s="40" t="s">
        <v>386</v>
      </c>
    </row>
    <row r="14" spans="1:15" x14ac:dyDescent="0.2">
      <c r="A14" s="55"/>
      <c r="B14" s="61" t="s">
        <v>173</v>
      </c>
      <c r="C14" s="43" t="s">
        <v>387</v>
      </c>
      <c r="D14" s="83"/>
      <c r="E14" s="43"/>
      <c r="F14" s="79" t="s">
        <v>174</v>
      </c>
      <c r="G14" s="48" t="s">
        <v>388</v>
      </c>
      <c r="H14" s="79" t="s">
        <v>113</v>
      </c>
      <c r="I14" s="43"/>
      <c r="J14" s="61" t="s">
        <v>175</v>
      </c>
      <c r="K14" s="49" t="s">
        <v>389</v>
      </c>
      <c r="L14" s="61" t="s">
        <v>176</v>
      </c>
      <c r="M14" s="45" t="s">
        <v>390</v>
      </c>
    </row>
    <row r="15" spans="1:15" x14ac:dyDescent="0.2">
      <c r="A15" s="53">
        <v>42647</v>
      </c>
      <c r="B15" s="60" t="s">
        <v>177</v>
      </c>
      <c r="C15" s="46" t="s">
        <v>391</v>
      </c>
      <c r="D15" s="77"/>
      <c r="E15" s="46"/>
      <c r="F15" s="62" t="s">
        <v>178</v>
      </c>
      <c r="G15" s="46" t="s">
        <v>392</v>
      </c>
      <c r="H15" s="62" t="s">
        <v>51</v>
      </c>
      <c r="I15" s="46"/>
      <c r="J15" s="60" t="s">
        <v>92</v>
      </c>
      <c r="K15" s="44" t="s">
        <v>393</v>
      </c>
      <c r="L15" s="60" t="s">
        <v>179</v>
      </c>
      <c r="M15" s="45" t="s">
        <v>394</v>
      </c>
    </row>
    <row r="16" spans="1:15" ht="15.75" thickBot="1" x14ac:dyDescent="0.25">
      <c r="A16" s="54"/>
      <c r="B16" s="63" t="s">
        <v>109</v>
      </c>
      <c r="C16" s="37" t="s">
        <v>395</v>
      </c>
      <c r="D16" s="84"/>
      <c r="E16" s="37"/>
      <c r="F16" s="84"/>
      <c r="G16" s="37"/>
      <c r="H16" s="84"/>
      <c r="I16" s="37"/>
      <c r="J16" s="63" t="s">
        <v>180</v>
      </c>
      <c r="K16" s="39" t="s">
        <v>396</v>
      </c>
      <c r="L16" s="63" t="s">
        <v>90</v>
      </c>
      <c r="M16" s="40" t="s">
        <v>397</v>
      </c>
    </row>
    <row r="17" spans="1:13" x14ac:dyDescent="0.2">
      <c r="A17" s="52"/>
      <c r="B17" s="60" t="s">
        <v>60</v>
      </c>
      <c r="C17" s="43" t="s">
        <v>398</v>
      </c>
      <c r="D17" s="62" t="s">
        <v>121</v>
      </c>
      <c r="E17" s="43" t="s">
        <v>399</v>
      </c>
      <c r="F17" s="62" t="s">
        <v>181</v>
      </c>
      <c r="G17" s="43" t="s">
        <v>400</v>
      </c>
      <c r="H17" s="77"/>
      <c r="I17" s="43"/>
      <c r="J17" s="60" t="s">
        <v>182</v>
      </c>
      <c r="K17" s="49" t="s">
        <v>401</v>
      </c>
      <c r="L17" s="60" t="s">
        <v>183</v>
      </c>
      <c r="M17" s="45" t="s">
        <v>408</v>
      </c>
    </row>
    <row r="18" spans="1:13" x14ac:dyDescent="0.2">
      <c r="A18" s="53">
        <v>42654</v>
      </c>
      <c r="B18" s="60" t="s">
        <v>184</v>
      </c>
      <c r="C18" s="45" t="s">
        <v>402</v>
      </c>
      <c r="D18" s="62" t="s">
        <v>185</v>
      </c>
      <c r="E18" s="46" t="s">
        <v>329</v>
      </c>
      <c r="F18" s="62" t="s">
        <v>186</v>
      </c>
      <c r="G18" s="46" t="s">
        <v>403</v>
      </c>
      <c r="H18" s="77"/>
      <c r="I18" s="46"/>
      <c r="J18" s="60" t="s">
        <v>187</v>
      </c>
      <c r="K18" s="44" t="s">
        <v>404</v>
      </c>
      <c r="L18" s="60" t="s">
        <v>188</v>
      </c>
      <c r="M18" s="45" t="s">
        <v>361</v>
      </c>
    </row>
    <row r="19" spans="1:13" ht="15.75" thickBot="1" x14ac:dyDescent="0.25">
      <c r="A19" s="52"/>
      <c r="B19" s="60" t="s">
        <v>189</v>
      </c>
      <c r="C19" s="40" t="s">
        <v>405</v>
      </c>
      <c r="D19" s="62" t="s">
        <v>190</v>
      </c>
      <c r="E19" s="37" t="s">
        <v>406</v>
      </c>
      <c r="F19" s="77"/>
      <c r="G19" s="37"/>
      <c r="H19" s="77"/>
      <c r="I19" s="37"/>
      <c r="J19" s="60" t="s">
        <v>191</v>
      </c>
      <c r="K19" s="39" t="s">
        <v>407</v>
      </c>
      <c r="L19" s="60" t="s">
        <v>99</v>
      </c>
      <c r="M19" s="40" t="s">
        <v>409</v>
      </c>
    </row>
    <row r="20" spans="1:13" x14ac:dyDescent="0.2">
      <c r="A20" s="55"/>
      <c r="B20" s="61" t="s">
        <v>192</v>
      </c>
      <c r="C20" s="43" t="s">
        <v>410</v>
      </c>
      <c r="D20" s="79" t="s">
        <v>193</v>
      </c>
      <c r="E20" s="43" t="s">
        <v>411</v>
      </c>
      <c r="F20" s="79" t="s">
        <v>194</v>
      </c>
      <c r="G20" s="43" t="s">
        <v>412</v>
      </c>
      <c r="H20" s="83"/>
      <c r="I20" s="43"/>
      <c r="J20" s="61" t="s">
        <v>63</v>
      </c>
      <c r="K20" s="86" t="s">
        <v>413</v>
      </c>
      <c r="L20" s="61" t="s">
        <v>195</v>
      </c>
      <c r="M20" s="45" t="s">
        <v>414</v>
      </c>
    </row>
    <row r="21" spans="1:13" x14ac:dyDescent="0.2">
      <c r="A21" s="53">
        <v>42661</v>
      </c>
      <c r="B21" s="60" t="s">
        <v>196</v>
      </c>
      <c r="C21" s="46" t="s">
        <v>415</v>
      </c>
      <c r="D21" s="62" t="s">
        <v>112</v>
      </c>
      <c r="E21" s="46" t="s">
        <v>416</v>
      </c>
      <c r="F21" s="62" t="s">
        <v>197</v>
      </c>
      <c r="G21" s="46" t="s">
        <v>417</v>
      </c>
      <c r="H21" s="77"/>
      <c r="I21" s="46"/>
      <c r="J21" s="60" t="s">
        <v>95</v>
      </c>
      <c r="K21" s="47" t="s">
        <v>418</v>
      </c>
      <c r="L21" s="60" t="s">
        <v>198</v>
      </c>
      <c r="M21" s="45" t="s">
        <v>419</v>
      </c>
    </row>
    <row r="22" spans="1:13" ht="15.75" thickBot="1" x14ac:dyDescent="0.25">
      <c r="A22" s="54"/>
      <c r="B22" s="63" t="s">
        <v>199</v>
      </c>
      <c r="C22" s="37" t="s">
        <v>420</v>
      </c>
      <c r="D22" s="81" t="s">
        <v>67</v>
      </c>
      <c r="E22" s="37" t="s">
        <v>421</v>
      </c>
      <c r="F22" s="84"/>
      <c r="G22" s="37"/>
      <c r="H22" s="84"/>
      <c r="I22" s="37"/>
      <c r="J22" s="63" t="s">
        <v>87</v>
      </c>
      <c r="K22" s="38" t="s">
        <v>422</v>
      </c>
      <c r="L22" s="63" t="s">
        <v>490</v>
      </c>
      <c r="M22" s="40" t="s">
        <v>423</v>
      </c>
    </row>
    <row r="23" spans="1:13" x14ac:dyDescent="0.2">
      <c r="A23" s="52"/>
      <c r="B23" s="60" t="s">
        <v>69</v>
      </c>
      <c r="C23" s="43" t="s">
        <v>424</v>
      </c>
      <c r="D23" s="62" t="s">
        <v>114</v>
      </c>
      <c r="E23" s="43" t="s">
        <v>425</v>
      </c>
      <c r="F23" s="62" t="s">
        <v>200</v>
      </c>
      <c r="G23" s="43" t="s">
        <v>407</v>
      </c>
      <c r="H23" s="77"/>
      <c r="I23" s="43"/>
      <c r="J23" s="60" t="s">
        <v>201</v>
      </c>
      <c r="K23" s="86" t="s">
        <v>379</v>
      </c>
      <c r="L23" s="60" t="s">
        <v>202</v>
      </c>
      <c r="M23" s="45" t="s">
        <v>362</v>
      </c>
    </row>
    <row r="24" spans="1:13" x14ac:dyDescent="0.2">
      <c r="A24" s="53">
        <v>42668</v>
      </c>
      <c r="B24" s="60" t="s">
        <v>203</v>
      </c>
      <c r="C24" s="46" t="s">
        <v>426</v>
      </c>
      <c r="D24" s="62" t="s">
        <v>204</v>
      </c>
      <c r="E24" s="46" t="s">
        <v>427</v>
      </c>
      <c r="F24" s="62" t="s">
        <v>205</v>
      </c>
      <c r="G24" s="46" t="s">
        <v>428</v>
      </c>
      <c r="H24" s="77"/>
      <c r="I24" s="46"/>
      <c r="J24" s="60" t="s">
        <v>120</v>
      </c>
      <c r="K24" s="47" t="s">
        <v>412</v>
      </c>
      <c r="L24" s="60" t="s">
        <v>206</v>
      </c>
      <c r="M24" s="45" t="s">
        <v>352</v>
      </c>
    </row>
    <row r="25" spans="1:13" ht="13.15" customHeight="1" thickBot="1" x14ac:dyDescent="0.25">
      <c r="A25" s="52"/>
      <c r="B25" s="60" t="s">
        <v>55</v>
      </c>
      <c r="C25" s="37" t="s">
        <v>429</v>
      </c>
      <c r="D25" s="62" t="s">
        <v>207</v>
      </c>
      <c r="E25" s="37" t="s">
        <v>430</v>
      </c>
      <c r="F25" s="77"/>
      <c r="G25" s="37"/>
      <c r="H25" s="77"/>
      <c r="I25" s="37"/>
      <c r="J25" s="60" t="s">
        <v>122</v>
      </c>
      <c r="K25" s="38" t="s">
        <v>410</v>
      </c>
      <c r="L25" s="60" t="s">
        <v>208</v>
      </c>
      <c r="M25" s="40" t="s">
        <v>431</v>
      </c>
    </row>
    <row r="26" spans="1:13" x14ac:dyDescent="0.2">
      <c r="A26" s="55"/>
      <c r="B26" s="61" t="s">
        <v>209</v>
      </c>
      <c r="C26" s="43" t="s">
        <v>435</v>
      </c>
      <c r="D26" s="79" t="s">
        <v>436</v>
      </c>
      <c r="E26" s="43" t="s">
        <v>437</v>
      </c>
      <c r="F26" s="79" t="s">
        <v>125</v>
      </c>
      <c r="G26" s="43" t="s">
        <v>438</v>
      </c>
      <c r="H26" s="83"/>
      <c r="I26" s="43"/>
      <c r="J26" s="61" t="s">
        <v>210</v>
      </c>
      <c r="K26" s="47" t="s">
        <v>439</v>
      </c>
      <c r="L26" s="61" t="s">
        <v>211</v>
      </c>
      <c r="M26" s="45" t="s">
        <v>440</v>
      </c>
    </row>
    <row r="27" spans="1:13" x14ac:dyDescent="0.2">
      <c r="A27" s="53">
        <v>42675</v>
      </c>
      <c r="B27" s="60" t="s">
        <v>91</v>
      </c>
      <c r="C27" s="46" t="s">
        <v>441</v>
      </c>
      <c r="D27" s="62" t="s">
        <v>212</v>
      </c>
      <c r="E27" s="46" t="s">
        <v>442</v>
      </c>
      <c r="F27" s="62" t="s">
        <v>213</v>
      </c>
      <c r="G27" s="46" t="s">
        <v>443</v>
      </c>
      <c r="H27" s="77"/>
      <c r="I27" s="46"/>
      <c r="J27" s="60" t="s">
        <v>124</v>
      </c>
      <c r="K27" s="47" t="s">
        <v>444</v>
      </c>
      <c r="L27" s="60" t="s">
        <v>214</v>
      </c>
      <c r="M27" s="45" t="s">
        <v>445</v>
      </c>
    </row>
    <row r="28" spans="1:13" ht="15.75" thickBot="1" x14ac:dyDescent="0.25">
      <c r="A28" s="54"/>
      <c r="B28" s="63" t="s">
        <v>215</v>
      </c>
      <c r="C28" s="37" t="s">
        <v>446</v>
      </c>
      <c r="D28" s="81" t="s">
        <v>216</v>
      </c>
      <c r="E28" s="37" t="s">
        <v>322</v>
      </c>
      <c r="F28" s="84"/>
      <c r="G28" s="37"/>
      <c r="H28" s="84"/>
      <c r="I28" s="37"/>
      <c r="J28" s="63" t="s">
        <v>217</v>
      </c>
      <c r="K28" s="38" t="s">
        <v>447</v>
      </c>
      <c r="L28" s="63" t="s">
        <v>218</v>
      </c>
      <c r="M28" s="40" t="s">
        <v>448</v>
      </c>
    </row>
    <row r="29" spans="1:13" s="109" customFormat="1" x14ac:dyDescent="0.2">
      <c r="A29" s="52"/>
      <c r="B29" s="60" t="s">
        <v>219</v>
      </c>
      <c r="C29" s="43" t="s">
        <v>449</v>
      </c>
      <c r="D29" s="62" t="s">
        <v>220</v>
      </c>
      <c r="E29" s="43" t="s">
        <v>450</v>
      </c>
      <c r="F29" s="62" t="s">
        <v>221</v>
      </c>
      <c r="G29" s="43" t="s">
        <v>451</v>
      </c>
      <c r="H29" s="77"/>
      <c r="I29" s="43"/>
      <c r="J29" s="60" t="s">
        <v>222</v>
      </c>
      <c r="K29" s="44" t="s">
        <v>452</v>
      </c>
      <c r="L29" s="60" t="s">
        <v>223</v>
      </c>
      <c r="M29" s="45" t="s">
        <v>453</v>
      </c>
    </row>
    <row r="30" spans="1:13" s="109" customFormat="1" x14ac:dyDescent="0.2">
      <c r="A30" s="53">
        <v>42682</v>
      </c>
      <c r="B30" s="60" t="s">
        <v>224</v>
      </c>
      <c r="C30" s="46" t="s">
        <v>454</v>
      </c>
      <c r="D30" s="44" t="s">
        <v>56</v>
      </c>
      <c r="E30" s="46" t="s">
        <v>455</v>
      </c>
      <c r="F30" s="62" t="s">
        <v>225</v>
      </c>
      <c r="G30" s="46" t="s">
        <v>456</v>
      </c>
      <c r="H30" s="77"/>
      <c r="I30" s="46"/>
      <c r="J30" s="60" t="s">
        <v>89</v>
      </c>
      <c r="K30" s="44" t="s">
        <v>457</v>
      </c>
      <c r="L30" s="60" t="s">
        <v>226</v>
      </c>
      <c r="M30" s="45" t="s">
        <v>458</v>
      </c>
    </row>
    <row r="31" spans="1:13" s="109" customFormat="1" ht="15.75" thickBot="1" x14ac:dyDescent="0.25">
      <c r="A31" s="52"/>
      <c r="B31" s="60" t="s">
        <v>227</v>
      </c>
      <c r="C31" s="37" t="s">
        <v>459</v>
      </c>
      <c r="D31" s="62" t="s">
        <v>228</v>
      </c>
      <c r="E31" s="37" t="s">
        <v>460</v>
      </c>
      <c r="F31" s="77"/>
      <c r="G31" s="37"/>
      <c r="H31" s="77"/>
      <c r="I31" s="37"/>
      <c r="J31" s="60" t="s">
        <v>229</v>
      </c>
      <c r="K31" s="39" t="s">
        <v>461</v>
      </c>
      <c r="L31" s="60" t="s">
        <v>118</v>
      </c>
      <c r="M31" s="40" t="s">
        <v>462</v>
      </c>
    </row>
    <row r="32" spans="1:13" x14ac:dyDescent="0.2">
      <c r="A32" s="55"/>
      <c r="B32" s="61" t="s">
        <v>93</v>
      </c>
      <c r="C32" s="43" t="s">
        <v>463</v>
      </c>
      <c r="D32" s="79" t="s">
        <v>230</v>
      </c>
      <c r="E32" s="43" t="s">
        <v>464</v>
      </c>
      <c r="F32" s="79" t="s">
        <v>231</v>
      </c>
      <c r="G32" s="43" t="s">
        <v>362</v>
      </c>
      <c r="H32" s="83"/>
      <c r="I32" s="43"/>
      <c r="J32" s="61" t="s">
        <v>232</v>
      </c>
      <c r="K32" s="47" t="s">
        <v>465</v>
      </c>
      <c r="L32" s="61" t="s">
        <v>233</v>
      </c>
      <c r="M32" s="45" t="s">
        <v>466</v>
      </c>
    </row>
    <row r="33" spans="1:13" x14ac:dyDescent="0.2">
      <c r="A33" s="53">
        <v>42689</v>
      </c>
      <c r="B33" s="60" t="s">
        <v>234</v>
      </c>
      <c r="C33" s="46" t="s">
        <v>467</v>
      </c>
      <c r="D33" s="62" t="s">
        <v>235</v>
      </c>
      <c r="E33" s="46" t="s">
        <v>468</v>
      </c>
      <c r="F33" s="62" t="s">
        <v>236</v>
      </c>
      <c r="G33" s="46" t="s">
        <v>469</v>
      </c>
      <c r="H33" s="77"/>
      <c r="I33" s="46"/>
      <c r="J33" s="60" t="s">
        <v>237</v>
      </c>
      <c r="K33" s="47" t="s">
        <v>321</v>
      </c>
      <c r="L33" s="60" t="s">
        <v>238</v>
      </c>
      <c r="M33" s="45" t="s">
        <v>470</v>
      </c>
    </row>
    <row r="34" spans="1:13" ht="15.75" thickBot="1" x14ac:dyDescent="0.25">
      <c r="A34" s="54"/>
      <c r="B34" s="63" t="s">
        <v>239</v>
      </c>
      <c r="C34" s="37" t="s">
        <v>471</v>
      </c>
      <c r="D34" s="81" t="s">
        <v>240</v>
      </c>
      <c r="E34" s="37" t="s">
        <v>472</v>
      </c>
      <c r="F34" s="84"/>
      <c r="G34" s="37"/>
      <c r="H34" s="84"/>
      <c r="I34" s="37"/>
      <c r="J34" s="63" t="s">
        <v>241</v>
      </c>
      <c r="K34" s="47" t="s">
        <v>473</v>
      </c>
      <c r="L34" s="63" t="s">
        <v>107</v>
      </c>
      <c r="M34" s="40" t="s">
        <v>474</v>
      </c>
    </row>
    <row r="35" spans="1:13" x14ac:dyDescent="0.2">
      <c r="A35" s="55"/>
      <c r="B35" s="61" t="s">
        <v>101</v>
      </c>
      <c r="C35" s="43" t="s">
        <v>475</v>
      </c>
      <c r="D35" s="79" t="s">
        <v>242</v>
      </c>
      <c r="E35" s="43" t="s">
        <v>476</v>
      </c>
      <c r="F35" s="62" t="s">
        <v>243</v>
      </c>
      <c r="G35" s="43" t="s">
        <v>477</v>
      </c>
      <c r="H35" s="77"/>
      <c r="I35" s="43"/>
      <c r="J35" s="60" t="s">
        <v>244</v>
      </c>
      <c r="K35" s="86" t="s">
        <v>478</v>
      </c>
      <c r="L35" s="60" t="s">
        <v>245</v>
      </c>
      <c r="M35" s="68" t="s">
        <v>479</v>
      </c>
    </row>
    <row r="36" spans="1:13" x14ac:dyDescent="0.2">
      <c r="A36" s="53">
        <v>42696</v>
      </c>
      <c r="B36" s="60" t="s">
        <v>246</v>
      </c>
      <c r="C36" s="46" t="s">
        <v>480</v>
      </c>
      <c r="D36" s="62" t="s">
        <v>94</v>
      </c>
      <c r="E36" s="46" t="s">
        <v>453</v>
      </c>
      <c r="F36" s="62" t="s">
        <v>247</v>
      </c>
      <c r="G36" s="46" t="s">
        <v>481</v>
      </c>
      <c r="H36" s="77"/>
      <c r="I36" s="46"/>
      <c r="J36" s="60" t="s">
        <v>248</v>
      </c>
      <c r="K36" s="47" t="s">
        <v>482</v>
      </c>
      <c r="L36" s="60" t="s">
        <v>249</v>
      </c>
      <c r="M36" s="68" t="s">
        <v>483</v>
      </c>
    </row>
    <row r="37" spans="1:13" ht="15.75" thickBot="1" x14ac:dyDescent="0.25">
      <c r="A37" s="52"/>
      <c r="B37" s="63" t="s">
        <v>106</v>
      </c>
      <c r="C37" s="37" t="s">
        <v>484</v>
      </c>
      <c r="D37" s="62" t="s">
        <v>250</v>
      </c>
      <c r="E37" s="37" t="s">
        <v>485</v>
      </c>
      <c r="F37" s="77"/>
      <c r="G37" s="37"/>
      <c r="H37" s="77"/>
      <c r="I37" s="37"/>
      <c r="J37" s="60" t="s">
        <v>251</v>
      </c>
      <c r="K37" s="38" t="s">
        <v>486</v>
      </c>
      <c r="L37" s="60" t="s">
        <v>116</v>
      </c>
      <c r="M37" s="37" t="s">
        <v>321</v>
      </c>
    </row>
    <row r="38" spans="1:13" x14ac:dyDescent="0.2">
      <c r="A38" s="88"/>
      <c r="B38" s="89" t="s">
        <v>252</v>
      </c>
      <c r="C38" s="90" t="s">
        <v>417</v>
      </c>
      <c r="D38" s="91" t="s">
        <v>253</v>
      </c>
      <c r="E38" s="90" t="s">
        <v>491</v>
      </c>
      <c r="F38" s="92" t="s">
        <v>254</v>
      </c>
      <c r="G38" s="90" t="s">
        <v>492</v>
      </c>
      <c r="H38" s="93"/>
      <c r="I38" s="43"/>
      <c r="J38" s="119" t="s">
        <v>104</v>
      </c>
      <c r="K38" s="91" t="s">
        <v>493</v>
      </c>
      <c r="L38" s="119" t="s">
        <v>255</v>
      </c>
      <c r="M38" s="94" t="s">
        <v>494</v>
      </c>
    </row>
    <row r="39" spans="1:13" x14ac:dyDescent="0.2">
      <c r="A39" s="95">
        <v>42703</v>
      </c>
      <c r="B39" s="89" t="s">
        <v>256</v>
      </c>
      <c r="C39" s="96" t="s">
        <v>495</v>
      </c>
      <c r="D39" s="97" t="s">
        <v>257</v>
      </c>
      <c r="E39" s="96" t="s">
        <v>496</v>
      </c>
      <c r="F39" s="98" t="s">
        <v>258</v>
      </c>
      <c r="G39" s="96" t="s">
        <v>497</v>
      </c>
      <c r="H39" s="99"/>
      <c r="I39" s="46"/>
      <c r="J39" s="89" t="s">
        <v>259</v>
      </c>
      <c r="K39" s="97" t="s">
        <v>498</v>
      </c>
      <c r="L39" s="89" t="s">
        <v>126</v>
      </c>
      <c r="M39" s="94" t="s">
        <v>499</v>
      </c>
    </row>
    <row r="40" spans="1:13" ht="15.75" thickBot="1" x14ac:dyDescent="0.25">
      <c r="A40" s="100"/>
      <c r="B40" s="101" t="s">
        <v>260</v>
      </c>
      <c r="C40" s="102" t="s">
        <v>500</v>
      </c>
      <c r="D40" s="103" t="s">
        <v>261</v>
      </c>
      <c r="E40" s="102" t="s">
        <v>501</v>
      </c>
      <c r="F40" s="104"/>
      <c r="G40" s="102"/>
      <c r="H40" s="104"/>
      <c r="I40" s="37"/>
      <c r="J40" s="101" t="s">
        <v>262</v>
      </c>
      <c r="K40" s="103" t="s">
        <v>502</v>
      </c>
      <c r="L40" s="101" t="s">
        <v>97</v>
      </c>
      <c r="M40" s="102" t="s">
        <v>503</v>
      </c>
    </row>
    <row r="41" spans="1:13" x14ac:dyDescent="0.2">
      <c r="A41" s="106"/>
      <c r="B41" s="89" t="s">
        <v>263</v>
      </c>
      <c r="C41" s="43" t="s">
        <v>515</v>
      </c>
      <c r="D41" s="92" t="s">
        <v>264</v>
      </c>
      <c r="E41" s="90" t="s">
        <v>504</v>
      </c>
      <c r="F41" s="98" t="s">
        <v>265</v>
      </c>
      <c r="G41" s="90" t="s">
        <v>505</v>
      </c>
      <c r="H41" s="99"/>
      <c r="I41" s="43"/>
      <c r="J41" s="89" t="s">
        <v>266</v>
      </c>
      <c r="K41" s="91" t="s">
        <v>506</v>
      </c>
      <c r="L41" s="89" t="s">
        <v>267</v>
      </c>
      <c r="M41" s="107" t="s">
        <v>507</v>
      </c>
    </row>
    <row r="42" spans="1:13" x14ac:dyDescent="0.2">
      <c r="A42" s="95">
        <v>42710</v>
      </c>
      <c r="B42" s="89" t="s">
        <v>268</v>
      </c>
      <c r="C42" s="46" t="s">
        <v>516</v>
      </c>
      <c r="D42" s="98" t="s">
        <v>269</v>
      </c>
      <c r="E42" s="96" t="s">
        <v>508</v>
      </c>
      <c r="F42" s="98" t="s">
        <v>270</v>
      </c>
      <c r="G42" s="96" t="s">
        <v>509</v>
      </c>
      <c r="H42" s="99"/>
      <c r="I42" s="46"/>
      <c r="J42" s="89" t="s">
        <v>271</v>
      </c>
      <c r="K42" s="97" t="s">
        <v>510</v>
      </c>
      <c r="L42" s="89" t="s">
        <v>272</v>
      </c>
      <c r="M42" s="107" t="s">
        <v>511</v>
      </c>
    </row>
    <row r="43" spans="1:13" ht="15.75" thickBot="1" x14ac:dyDescent="0.25">
      <c r="A43" s="106"/>
      <c r="B43" s="89" t="s">
        <v>273</v>
      </c>
      <c r="C43" s="37" t="s">
        <v>420</v>
      </c>
      <c r="D43" s="105" t="s">
        <v>108</v>
      </c>
      <c r="E43" s="102" t="s">
        <v>512</v>
      </c>
      <c r="F43" s="99"/>
      <c r="G43" s="102"/>
      <c r="H43" s="99"/>
      <c r="I43" s="37"/>
      <c r="J43" s="89" t="s">
        <v>274</v>
      </c>
      <c r="K43" s="103" t="s">
        <v>513</v>
      </c>
      <c r="L43" s="89" t="s">
        <v>275</v>
      </c>
      <c r="M43" s="108" t="s">
        <v>514</v>
      </c>
    </row>
    <row r="44" spans="1:13" x14ac:dyDescent="0.2">
      <c r="A44" s="55"/>
      <c r="B44" s="61" t="s">
        <v>276</v>
      </c>
      <c r="C44" s="43" t="s">
        <v>321</v>
      </c>
      <c r="D44" s="62" t="s">
        <v>277</v>
      </c>
      <c r="E44" s="43" t="s">
        <v>520</v>
      </c>
      <c r="F44" s="49" t="s">
        <v>278</v>
      </c>
      <c r="G44" s="43" t="s">
        <v>521</v>
      </c>
      <c r="H44" s="83"/>
      <c r="I44" s="43"/>
      <c r="J44" s="61" t="s">
        <v>279</v>
      </c>
      <c r="K44" s="49" t="s">
        <v>522</v>
      </c>
      <c r="L44" s="61" t="s">
        <v>280</v>
      </c>
      <c r="M44" s="44" t="s">
        <v>523</v>
      </c>
    </row>
    <row r="45" spans="1:13" x14ac:dyDescent="0.2">
      <c r="A45" s="53">
        <v>42717</v>
      </c>
      <c r="B45" s="60" t="s">
        <v>281</v>
      </c>
      <c r="C45" s="46" t="s">
        <v>524</v>
      </c>
      <c r="D45" s="62" t="s">
        <v>282</v>
      </c>
      <c r="E45" s="46" t="s">
        <v>525</v>
      </c>
      <c r="F45" s="44" t="s">
        <v>283</v>
      </c>
      <c r="G45" s="46" t="s">
        <v>526</v>
      </c>
      <c r="H45" s="77"/>
      <c r="I45" s="46"/>
      <c r="J45" s="60" t="s">
        <v>102</v>
      </c>
      <c r="K45" s="44" t="s">
        <v>527</v>
      </c>
      <c r="L45" s="60" t="s">
        <v>284</v>
      </c>
      <c r="M45" s="45" t="s">
        <v>528</v>
      </c>
    </row>
    <row r="46" spans="1:13" ht="15.75" thickBot="1" x14ac:dyDescent="0.25">
      <c r="A46" s="54"/>
      <c r="B46" s="63" t="s">
        <v>285</v>
      </c>
      <c r="C46" s="37" t="s">
        <v>529</v>
      </c>
      <c r="D46" s="81" t="s">
        <v>286</v>
      </c>
      <c r="E46" s="37" t="s">
        <v>530</v>
      </c>
      <c r="F46" s="84"/>
      <c r="G46" s="37"/>
      <c r="H46" s="84"/>
      <c r="I46" s="37"/>
      <c r="J46" s="63" t="s">
        <v>287</v>
      </c>
      <c r="K46" s="39" t="s">
        <v>531</v>
      </c>
      <c r="L46" s="63" t="s">
        <v>288</v>
      </c>
      <c r="M46" s="40" t="s">
        <v>532</v>
      </c>
    </row>
    <row r="47" spans="1:13" x14ac:dyDescent="0.2">
      <c r="A47" s="52"/>
      <c r="B47" s="61" t="s">
        <v>61</v>
      </c>
      <c r="C47" s="48" t="s">
        <v>533</v>
      </c>
      <c r="D47" s="61" t="s">
        <v>289</v>
      </c>
      <c r="E47" s="43" t="s">
        <v>534</v>
      </c>
      <c r="F47" s="62" t="s">
        <v>111</v>
      </c>
      <c r="G47" s="43" t="s">
        <v>321</v>
      </c>
      <c r="H47" s="77"/>
      <c r="I47" s="43"/>
      <c r="J47" s="61" t="s">
        <v>290</v>
      </c>
      <c r="K47" s="49" t="s">
        <v>535</v>
      </c>
      <c r="L47" s="61" t="s">
        <v>291</v>
      </c>
      <c r="M47" s="44" t="s">
        <v>536</v>
      </c>
    </row>
    <row r="48" spans="1:13" x14ac:dyDescent="0.2">
      <c r="A48" s="53">
        <v>42738</v>
      </c>
      <c r="B48" s="60" t="s">
        <v>292</v>
      </c>
      <c r="C48" s="68" t="s">
        <v>321</v>
      </c>
      <c r="D48" s="110" t="s">
        <v>293</v>
      </c>
      <c r="E48" s="46" t="s">
        <v>428</v>
      </c>
      <c r="F48" s="44" t="s">
        <v>294</v>
      </c>
      <c r="G48" s="46" t="s">
        <v>431</v>
      </c>
      <c r="H48" s="77"/>
      <c r="I48" s="46"/>
      <c r="J48" s="60" t="s">
        <v>295</v>
      </c>
      <c r="K48" s="44" t="s">
        <v>532</v>
      </c>
      <c r="L48" s="60" t="s">
        <v>296</v>
      </c>
      <c r="M48" s="45" t="s">
        <v>537</v>
      </c>
    </row>
    <row r="49" spans="1:13" ht="15.75" thickBot="1" x14ac:dyDescent="0.25">
      <c r="A49" s="52"/>
      <c r="B49" s="63" t="s">
        <v>64</v>
      </c>
      <c r="C49" s="37" t="s">
        <v>538</v>
      </c>
      <c r="D49" s="63" t="s">
        <v>297</v>
      </c>
      <c r="E49" s="37" t="s">
        <v>539</v>
      </c>
      <c r="F49" s="84"/>
      <c r="G49" s="37"/>
      <c r="H49" s="84"/>
      <c r="I49" s="37"/>
      <c r="J49" s="63" t="s">
        <v>298</v>
      </c>
      <c r="K49" s="44" t="s">
        <v>540</v>
      </c>
      <c r="L49" s="63" t="s">
        <v>299</v>
      </c>
      <c r="M49" s="39" t="s">
        <v>541</v>
      </c>
    </row>
    <row r="50" spans="1:13" x14ac:dyDescent="0.2">
      <c r="A50" s="55"/>
      <c r="B50" s="79" t="s">
        <v>96</v>
      </c>
      <c r="C50" s="43" t="s">
        <v>553</v>
      </c>
      <c r="D50" s="62" t="s">
        <v>300</v>
      </c>
      <c r="E50" s="43" t="s">
        <v>554</v>
      </c>
      <c r="F50" s="79" t="s">
        <v>301</v>
      </c>
      <c r="G50" s="43" t="s">
        <v>474</v>
      </c>
      <c r="H50" s="77"/>
      <c r="I50" s="43"/>
      <c r="J50" s="60" t="s">
        <v>302</v>
      </c>
      <c r="K50" s="49" t="s">
        <v>555</v>
      </c>
      <c r="L50" s="60" t="s">
        <v>88</v>
      </c>
      <c r="M50" s="68" t="s">
        <v>460</v>
      </c>
    </row>
    <row r="51" spans="1:13" x14ac:dyDescent="0.2">
      <c r="A51" s="53">
        <v>42745</v>
      </c>
      <c r="B51" s="62" t="s">
        <v>303</v>
      </c>
      <c r="C51" s="46" t="s">
        <v>377</v>
      </c>
      <c r="D51" s="62" t="s">
        <v>59</v>
      </c>
      <c r="E51" s="46" t="s">
        <v>556</v>
      </c>
      <c r="F51" s="62" t="s">
        <v>117</v>
      </c>
      <c r="G51" s="46" t="s">
        <v>557</v>
      </c>
      <c r="H51" s="77"/>
      <c r="I51" s="46"/>
      <c r="J51" s="60" t="s">
        <v>103</v>
      </c>
      <c r="K51" s="44" t="s">
        <v>558</v>
      </c>
      <c r="L51" s="60" t="s">
        <v>304</v>
      </c>
      <c r="M51" s="46" t="s">
        <v>559</v>
      </c>
    </row>
    <row r="52" spans="1:13" ht="15.75" thickBot="1" x14ac:dyDescent="0.25">
      <c r="A52" s="52"/>
      <c r="B52" s="62" t="s">
        <v>98</v>
      </c>
      <c r="C52" s="37" t="s">
        <v>560</v>
      </c>
      <c r="D52" s="62" t="s">
        <v>123</v>
      </c>
      <c r="E52" s="37" t="s">
        <v>561</v>
      </c>
      <c r="F52" s="77"/>
      <c r="G52" s="37"/>
      <c r="H52" s="77"/>
      <c r="I52" s="37"/>
      <c r="J52" s="60" t="s">
        <v>305</v>
      </c>
      <c r="K52" s="39" t="s">
        <v>393</v>
      </c>
      <c r="L52" s="60" t="s">
        <v>306</v>
      </c>
      <c r="M52" s="37" t="s">
        <v>562</v>
      </c>
    </row>
    <row r="53" spans="1:13" x14ac:dyDescent="0.2">
      <c r="A53" s="55"/>
      <c r="B53" s="49" t="s">
        <v>307</v>
      </c>
      <c r="C53" s="43" t="s">
        <v>564</v>
      </c>
      <c r="D53" s="112" t="s">
        <v>308</v>
      </c>
      <c r="E53" s="43" t="s">
        <v>565</v>
      </c>
      <c r="F53" s="79" t="s">
        <v>309</v>
      </c>
      <c r="G53" s="43" t="s">
        <v>523</v>
      </c>
      <c r="H53" s="83"/>
      <c r="I53" s="43"/>
      <c r="J53" s="61" t="s">
        <v>310</v>
      </c>
      <c r="K53" s="49" t="s">
        <v>322</v>
      </c>
      <c r="L53" s="61" t="s">
        <v>311</v>
      </c>
      <c r="M53" s="68" t="s">
        <v>566</v>
      </c>
    </row>
    <row r="54" spans="1:13" x14ac:dyDescent="0.2">
      <c r="A54" s="53">
        <v>42752</v>
      </c>
      <c r="B54" s="44" t="s">
        <v>312</v>
      </c>
      <c r="C54" s="46" t="s">
        <v>567</v>
      </c>
      <c r="D54" s="69" t="s">
        <v>313</v>
      </c>
      <c r="E54" s="46" t="s">
        <v>568</v>
      </c>
      <c r="F54" s="62" t="s">
        <v>314</v>
      </c>
      <c r="G54" s="46" t="s">
        <v>569</v>
      </c>
      <c r="H54" s="77"/>
      <c r="I54" s="46"/>
      <c r="J54" s="60" t="s">
        <v>315</v>
      </c>
      <c r="K54" s="44" t="s">
        <v>570</v>
      </c>
      <c r="L54" s="60" t="s">
        <v>316</v>
      </c>
      <c r="M54" s="46" t="s">
        <v>571</v>
      </c>
    </row>
    <row r="55" spans="1:13" ht="15.75" thickBot="1" x14ac:dyDescent="0.25">
      <c r="A55" s="54"/>
      <c r="B55" s="39" t="s">
        <v>68</v>
      </c>
      <c r="C55" s="37" t="s">
        <v>574</v>
      </c>
      <c r="D55" s="80"/>
      <c r="E55" s="37"/>
      <c r="F55" s="80"/>
      <c r="G55" s="37"/>
      <c r="H55" s="80"/>
      <c r="I55" s="37"/>
      <c r="J55" s="63" t="s">
        <v>317</v>
      </c>
      <c r="K55" s="39" t="s">
        <v>572</v>
      </c>
      <c r="L55" s="63" t="s">
        <v>318</v>
      </c>
      <c r="M55" s="37" t="s">
        <v>573</v>
      </c>
    </row>
    <row r="56" spans="1:13" x14ac:dyDescent="0.2">
      <c r="A56" s="113"/>
      <c r="B56" s="49" t="s">
        <v>152</v>
      </c>
      <c r="C56" s="43" t="s">
        <v>575</v>
      </c>
      <c r="D56" s="112" t="s">
        <v>141</v>
      </c>
      <c r="E56" s="43" t="s">
        <v>576</v>
      </c>
      <c r="F56" s="49" t="s">
        <v>577</v>
      </c>
      <c r="G56" s="43" t="s">
        <v>578</v>
      </c>
      <c r="H56" s="83"/>
      <c r="I56" s="43"/>
      <c r="J56" s="61" t="s">
        <v>579</v>
      </c>
      <c r="K56" s="43" t="s">
        <v>580</v>
      </c>
      <c r="L56" s="61" t="s">
        <v>581</v>
      </c>
      <c r="M56" s="68" t="s">
        <v>505</v>
      </c>
    </row>
    <row r="57" spans="1:13" x14ac:dyDescent="0.25">
      <c r="A57" s="53">
        <f>A54+7</f>
        <v>42759</v>
      </c>
      <c r="B57" s="44" t="s">
        <v>582</v>
      </c>
      <c r="C57" s="46" t="s">
        <v>583</v>
      </c>
      <c r="D57" s="69" t="s">
        <v>198</v>
      </c>
      <c r="E57" s="46" t="s">
        <v>584</v>
      </c>
      <c r="F57" s="44" t="s">
        <v>585</v>
      </c>
      <c r="G57" s="46" t="s">
        <v>376</v>
      </c>
      <c r="H57" s="77"/>
      <c r="I57" s="46"/>
      <c r="J57" s="120" t="s">
        <v>586</v>
      </c>
      <c r="K57" s="46" t="s">
        <v>587</v>
      </c>
      <c r="L57" s="60" t="s">
        <v>588</v>
      </c>
      <c r="M57" s="46" t="s">
        <v>358</v>
      </c>
    </row>
    <row r="58" spans="1:13" ht="15.75" thickBot="1" x14ac:dyDescent="0.25">
      <c r="A58" s="54"/>
      <c r="B58" s="39" t="s">
        <v>589</v>
      </c>
      <c r="C58" s="37" t="s">
        <v>530</v>
      </c>
      <c r="D58" s="72" t="s">
        <v>159</v>
      </c>
      <c r="E58" s="37" t="s">
        <v>590</v>
      </c>
      <c r="F58" s="115"/>
      <c r="G58" s="114"/>
      <c r="H58" s="80"/>
      <c r="I58" s="37"/>
      <c r="J58" s="63" t="s">
        <v>591</v>
      </c>
      <c r="K58" s="37" t="s">
        <v>592</v>
      </c>
      <c r="L58" s="63" t="s">
        <v>593</v>
      </c>
      <c r="M58" s="37" t="s">
        <v>594</v>
      </c>
    </row>
    <row r="59" spans="1:13" x14ac:dyDescent="0.2">
      <c r="A59" s="52"/>
      <c r="B59" s="61" t="s">
        <v>153</v>
      </c>
      <c r="C59" s="43" t="s">
        <v>598</v>
      </c>
      <c r="D59" s="61" t="s">
        <v>599</v>
      </c>
      <c r="E59" s="43" t="s">
        <v>454</v>
      </c>
      <c r="F59" s="49" t="s">
        <v>214</v>
      </c>
      <c r="G59" s="43" t="s">
        <v>369</v>
      </c>
      <c r="H59" s="83"/>
      <c r="I59" s="43"/>
      <c r="J59" s="61" t="s">
        <v>317</v>
      </c>
      <c r="K59" s="43" t="s">
        <v>600</v>
      </c>
      <c r="L59" s="61" t="s">
        <v>601</v>
      </c>
      <c r="M59" s="68" t="s">
        <v>602</v>
      </c>
    </row>
    <row r="60" spans="1:13" x14ac:dyDescent="0.2">
      <c r="A60" s="53">
        <f>A57+7</f>
        <v>42766</v>
      </c>
      <c r="B60" s="60" t="s">
        <v>108</v>
      </c>
      <c r="C60" s="46" t="s">
        <v>603</v>
      </c>
      <c r="D60" s="60" t="s">
        <v>604</v>
      </c>
      <c r="E60" s="46" t="s">
        <v>605</v>
      </c>
      <c r="F60" s="44" t="s">
        <v>268</v>
      </c>
      <c r="G60" s="46" t="s">
        <v>606</v>
      </c>
      <c r="H60" s="77"/>
      <c r="I60" s="46"/>
      <c r="J60" s="60" t="s">
        <v>167</v>
      </c>
      <c r="K60" s="46" t="s">
        <v>479</v>
      </c>
      <c r="L60" s="60" t="s">
        <v>607</v>
      </c>
      <c r="M60" s="46" t="s">
        <v>608</v>
      </c>
    </row>
    <row r="61" spans="1:13" ht="15.75" thickBot="1" x14ac:dyDescent="0.25">
      <c r="A61" s="52"/>
      <c r="B61" s="63" t="s">
        <v>609</v>
      </c>
      <c r="C61" s="37" t="s">
        <v>610</v>
      </c>
      <c r="D61" s="63" t="s">
        <v>85</v>
      </c>
      <c r="E61" s="37" t="s">
        <v>321</v>
      </c>
      <c r="F61" s="115"/>
      <c r="G61" s="114"/>
      <c r="H61" s="80"/>
      <c r="I61" s="37"/>
      <c r="J61" s="63" t="s">
        <v>310</v>
      </c>
      <c r="K61" s="37" t="s">
        <v>611</v>
      </c>
      <c r="L61" s="63" t="s">
        <v>612</v>
      </c>
      <c r="M61" s="37" t="s">
        <v>613</v>
      </c>
    </row>
    <row r="62" spans="1:13" x14ac:dyDescent="0.2">
      <c r="A62" s="55"/>
      <c r="B62" s="70" t="s">
        <v>137</v>
      </c>
      <c r="C62" s="43" t="s">
        <v>615</v>
      </c>
      <c r="D62" s="70" t="s">
        <v>201</v>
      </c>
      <c r="E62" s="43" t="s">
        <v>439</v>
      </c>
      <c r="F62" s="69" t="s">
        <v>289</v>
      </c>
      <c r="G62" s="43" t="s">
        <v>616</v>
      </c>
      <c r="H62" s="83"/>
      <c r="I62" s="43"/>
      <c r="J62" s="61" t="s">
        <v>173</v>
      </c>
      <c r="K62" s="43" t="s">
        <v>617</v>
      </c>
      <c r="L62" s="61" t="s">
        <v>308</v>
      </c>
      <c r="M62" s="68" t="s">
        <v>618</v>
      </c>
    </row>
    <row r="63" spans="1:13" x14ac:dyDescent="0.2">
      <c r="A63" s="53">
        <f>A60+7</f>
        <v>42773</v>
      </c>
      <c r="B63" s="70" t="s">
        <v>223</v>
      </c>
      <c r="C63" s="46" t="s">
        <v>619</v>
      </c>
      <c r="D63" s="70" t="s">
        <v>620</v>
      </c>
      <c r="E63" s="46" t="s">
        <v>621</v>
      </c>
      <c r="F63" s="69" t="s">
        <v>622</v>
      </c>
      <c r="G63" s="46" t="s">
        <v>623</v>
      </c>
      <c r="H63" s="77"/>
      <c r="I63" s="46"/>
      <c r="J63" s="60" t="s">
        <v>109</v>
      </c>
      <c r="K63" s="46" t="s">
        <v>624</v>
      </c>
      <c r="L63" s="60" t="s">
        <v>625</v>
      </c>
      <c r="M63" s="45" t="s">
        <v>626</v>
      </c>
    </row>
    <row r="64" spans="1:13" ht="15.75" thickBot="1" x14ac:dyDescent="0.25">
      <c r="A64" s="54"/>
      <c r="B64" s="75" t="s">
        <v>627</v>
      </c>
      <c r="C64" s="37" t="s">
        <v>628</v>
      </c>
      <c r="D64" s="75" t="s">
        <v>206</v>
      </c>
      <c r="E64" s="37" t="s">
        <v>629</v>
      </c>
      <c r="F64" s="115"/>
      <c r="G64" s="37"/>
      <c r="H64" s="80"/>
      <c r="I64" s="37"/>
      <c r="J64" s="63" t="s">
        <v>172</v>
      </c>
      <c r="K64" s="37" t="s">
        <v>630</v>
      </c>
      <c r="L64" s="63" t="s">
        <v>631</v>
      </c>
      <c r="M64" s="37" t="s">
        <v>396</v>
      </c>
    </row>
  </sheetData>
  <phoneticPr fontId="0" type="noConversion"/>
  <pageMargins left="0.7" right="0.7" top="0.75" bottom="0.75" header="0.3" footer="0.3"/>
  <pageSetup paperSize="9" orientation="portrait" verticalDpi="300" r:id="rId1"/>
  <ignoredErrors>
    <ignoredError sqref="A5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0" sqref="F20"/>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Tables</vt:lpstr>
      <vt:lpstr>Results</vt:lpstr>
      <vt:lpstr>Sheet1</vt:lpstr>
    </vt:vector>
  </TitlesOfParts>
  <Company>Home Retail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S.L.Parsons</dc:creator>
  <cp:lastModifiedBy>Hayley McMahon</cp:lastModifiedBy>
  <cp:lastPrinted>2015-09-19T01:05:14Z</cp:lastPrinted>
  <dcterms:created xsi:type="dcterms:W3CDTF">2013-04-15T13:30:35Z</dcterms:created>
  <dcterms:modified xsi:type="dcterms:W3CDTF">2017-02-17T19:08:11Z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-749291080</vt:i4>
  </property>
  <property fmtid="{D5CDD505-2E9C-101B-9397-08002B2CF9AE}" pid="3" name="_EmailSubject">
    <vt:lpwstr>Netball - results table</vt:lpwstr>
  </property>
  <property fmtid="{D5CDD505-2E9C-101B-9397-08002B2CF9AE}" pid="4" name="_AuthorEmail">
    <vt:lpwstr>Katrina.Hird@homebase.co.uk</vt:lpwstr>
  </property>
  <property fmtid="{D5CDD505-2E9C-101B-9397-08002B2CF9AE}" pid="5" name="_AuthorEmailDisplayName">
    <vt:lpwstr>Katrina Hird</vt:lpwstr>
  </property>
  <property fmtid="{D5CDD505-2E9C-101B-9397-08002B2CF9AE}" pid="6" name="_ReviewingToolsShownOnce">
    <vt:lpwstr/>
  </property>
</Properties>
</file>